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 firstSheet="2" activeTab="2"/>
  </bookViews>
  <sheets>
    <sheet name="Sheet1 (2)" sheetId="9" r:id="rId1"/>
    <sheet name="คิดแยกเมล็ดต้นกล้าเล็กใหญ๋ล่าสด" sheetId="7" r:id="rId2"/>
    <sheet name="จำนวนต้นกล้าจำหน่าย" sheetId="4" r:id="rId3"/>
  </sheets>
  <definedNames>
    <definedName name="_xlnm.Print_Titles" localSheetId="2">จำนวนต้นกล้าจำหน่าย!$3:$3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E31" i="4"/>
  <c r="D31" i="4"/>
  <c r="G30" i="4"/>
  <c r="J24" i="9" l="1"/>
  <c r="I24" i="9"/>
  <c r="H24" i="9"/>
  <c r="G24" i="9"/>
  <c r="K24" i="9" s="1"/>
  <c r="J23" i="9"/>
  <c r="I23" i="9"/>
  <c r="G23" i="9"/>
  <c r="H23" i="9" s="1"/>
  <c r="B23" i="9"/>
  <c r="G20" i="9"/>
  <c r="G13" i="9"/>
  <c r="H13" i="9" s="1"/>
  <c r="J13" i="9" s="1"/>
  <c r="G12" i="9"/>
  <c r="H12" i="9" s="1"/>
  <c r="J12" i="9" s="1"/>
  <c r="G11" i="9"/>
  <c r="H11" i="9" s="1"/>
  <c r="J11" i="9" s="1"/>
  <c r="G10" i="9"/>
  <c r="H10" i="9" s="1"/>
  <c r="J10" i="9" s="1"/>
  <c r="G9" i="9"/>
  <c r="H9" i="9" s="1"/>
  <c r="J9" i="9" s="1"/>
  <c r="G8" i="9"/>
  <c r="H8" i="9" s="1"/>
  <c r="J8" i="9" s="1"/>
  <c r="G7" i="9"/>
  <c r="H7" i="9" s="1"/>
  <c r="J7" i="9" s="1"/>
  <c r="G6" i="9"/>
  <c r="H6" i="9" s="1"/>
  <c r="J6" i="9" s="1"/>
  <c r="G5" i="9"/>
  <c r="H5" i="9" s="1"/>
  <c r="J5" i="9" s="1"/>
  <c r="L4" i="9"/>
  <c r="K4" i="9"/>
  <c r="G4" i="9"/>
  <c r="H4" i="9" s="1"/>
  <c r="J4" i="9" s="1"/>
  <c r="D30" i="7"/>
  <c r="L21" i="7"/>
  <c r="L19" i="7"/>
  <c r="L12" i="7"/>
  <c r="L11" i="7"/>
  <c r="L10" i="7"/>
  <c r="L9" i="7"/>
  <c r="L8" i="7"/>
  <c r="L7" i="7"/>
  <c r="L6" i="7"/>
  <c r="L5" i="7"/>
  <c r="L4" i="7"/>
  <c r="M10" i="7"/>
  <c r="M9" i="7"/>
  <c r="M8" i="7"/>
  <c r="M7" i="7"/>
  <c r="M6" i="7"/>
  <c r="M5" i="7"/>
  <c r="M4" i="7"/>
  <c r="K23" i="9" l="1"/>
  <c r="E13" i="7"/>
  <c r="E14" i="7"/>
  <c r="L14" i="7" s="1"/>
  <c r="E15" i="7"/>
  <c r="L15" i="7" s="1"/>
  <c r="E16" i="7"/>
  <c r="L16" i="7" s="1"/>
  <c r="E17" i="7"/>
  <c r="L17" i="7" s="1"/>
  <c r="E18" i="7"/>
  <c r="L18" i="7" s="1"/>
  <c r="E20" i="7"/>
  <c r="L20" i="7" s="1"/>
  <c r="E22" i="7"/>
  <c r="L22" i="7" s="1"/>
  <c r="E23" i="7"/>
  <c r="L23" i="7" s="1"/>
  <c r="E24" i="7"/>
  <c r="L24" i="7" s="1"/>
  <c r="E25" i="7"/>
  <c r="L25" i="7" s="1"/>
  <c r="K29" i="7"/>
  <c r="K28" i="7"/>
  <c r="K27" i="7"/>
  <c r="K26" i="7"/>
  <c r="H29" i="7"/>
  <c r="E29" i="7" s="1"/>
  <c r="L29" i="7" s="1"/>
  <c r="H28" i="7"/>
  <c r="E28" i="7" s="1"/>
  <c r="L28" i="7" s="1"/>
  <c r="H27" i="7"/>
  <c r="E27" i="7" s="1"/>
  <c r="L27" i="7" s="1"/>
  <c r="H26" i="7"/>
  <c r="L13" i="7" l="1"/>
  <c r="H30" i="7"/>
  <c r="K30" i="7"/>
  <c r="E26" i="7"/>
  <c r="L26" i="7" s="1"/>
  <c r="I48" i="7"/>
  <c r="N48" i="7" s="1"/>
  <c r="F48" i="7"/>
  <c r="M48" i="7" s="1"/>
  <c r="F46" i="7"/>
  <c r="M46" i="7" s="1"/>
  <c r="D49" i="7"/>
  <c r="D47" i="7"/>
  <c r="D46" i="7"/>
  <c r="I46" i="7" s="1"/>
  <c r="N46" i="7" s="1"/>
  <c r="C49" i="7"/>
  <c r="F49" i="7" s="1"/>
  <c r="M49" i="7" s="1"/>
  <c r="C48" i="7"/>
  <c r="C47" i="7"/>
  <c r="C46" i="7"/>
  <c r="I30" i="7"/>
  <c r="F30" i="7"/>
  <c r="O37" i="7"/>
  <c r="Q33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O10" i="7"/>
  <c r="O48" i="7" l="1"/>
  <c r="E30" i="7"/>
  <c r="F36" i="7" s="1"/>
  <c r="F37" i="7" s="1"/>
  <c r="M31" i="7"/>
  <c r="O46" i="7"/>
  <c r="I49" i="7"/>
  <c r="N49" i="7" s="1"/>
  <c r="O49" i="7" s="1"/>
  <c r="F47" i="7"/>
  <c r="M47" i="7" s="1"/>
  <c r="I47" i="7"/>
  <c r="N47" i="7" s="1"/>
  <c r="O47" i="7" l="1"/>
  <c r="O31" i="7"/>
  <c r="O32" i="7" l="1"/>
  <c r="J33" i="4" l="1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9" i="4"/>
  <c r="G8" i="4"/>
  <c r="G7" i="4"/>
  <c r="G6" i="4"/>
  <c r="G5" i="4"/>
  <c r="G31" i="4" l="1"/>
  <c r="G32" i="4" s="1"/>
</calcChain>
</file>

<file path=xl/comments1.xml><?xml version="1.0" encoding="utf-8"?>
<comments xmlns="http://schemas.openxmlformats.org/spreadsheetml/2006/main">
  <authors>
    <author>OR</author>
  </authors>
  <commentList>
    <comment ref="I22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พ.ค.54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ม.ค.55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ก.พ.55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ก.พ.56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ธ.ค.55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มี.ค.57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ต.ค.56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ต.ค.57</t>
        </r>
      </text>
    </comment>
  </commentList>
</comments>
</file>

<file path=xl/comments2.xml><?xml version="1.0" encoding="utf-8"?>
<comments xmlns="http://schemas.openxmlformats.org/spreadsheetml/2006/main">
  <authors>
    <author>OR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พ.ค.54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ม.ค.55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ก.พ.55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ก.พ.56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ธ.ค.55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มี.ค.57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ต.ค.56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OR:</t>
        </r>
        <r>
          <rPr>
            <sz val="9"/>
            <color indexed="81"/>
            <rFont val="Tahoma"/>
            <family val="2"/>
          </rPr>
          <t xml:space="preserve">
ครบ ต.ค.57</t>
        </r>
      </text>
    </comment>
  </commentList>
</comments>
</file>

<file path=xl/sharedStrings.xml><?xml version="1.0" encoding="utf-8"?>
<sst xmlns="http://schemas.openxmlformats.org/spreadsheetml/2006/main" count="172" uniqueCount="92">
  <si>
    <t>รวม</t>
  </si>
  <si>
    <t>รายงานปริมาณการผลิตพันธุ์ปาล์มน้ำมันและการนำไปใช้ประโยชน์ของศูนย์วิจัยปาล์มน้ำมันสุราษฎร์ธานี กรมวิชาการเกษตร ตั้งแต่ปี 2542-ปัจจุบัน (ตุลาคม 2560)</t>
  </si>
  <si>
    <t>ที่</t>
  </si>
  <si>
    <t>แหล่งงบประมาณ</t>
  </si>
  <si>
    <t>ระยะเวลาดำเนินการ</t>
  </si>
  <si>
    <t xml:space="preserve">เมล็ดงอก </t>
  </si>
  <si>
    <t>เมล็ดงอกผลิตต้นกล้า 3-5 เดือน</t>
  </si>
  <si>
    <t>เมล็ดงอกผลิตต้นกล้า 8-12 เดือน</t>
  </si>
  <si>
    <t>รวมปริมาณเมล็ดงอกที่ผลิต</t>
  </si>
  <si>
    <t xml:space="preserve">โครงการเร่งรัดการผลิตเมล็ดพันธุ์และต้นกล้าปาล์มน้ำมันลูกผสมเทเนอรา </t>
  </si>
  <si>
    <t>ปี 2541-2544 ขอขยายเวลา ธค. 2545</t>
  </si>
  <si>
    <t>โครงการวิจัยเทคโนโลยีการผลิตเมล็ดพันธุ์และต้นกล้าปาล์มน้ำมัน</t>
  </si>
  <si>
    <t>พ.ย.2546-ก.พ.2549</t>
  </si>
  <si>
    <t>โครงการผลิตเมล็ดพันธุ์และต้นกล้าปาล์มน้ำมันเพื่อสนับสนุนโครงการปลูกปาล์มน้ำมันเพื่อทดแทนพลังงาน</t>
  </si>
  <si>
    <t>ก.ค.49-มิ.ย.52</t>
  </si>
  <si>
    <t xml:space="preserve">โครงการวิจัยและผลิตเมล็ดพันธุ์และต้นกล้าปาล์มน้ำมันเพื่อสนับสนุนโครงการปลูกปาล์มน้ำมันเพื่อทดแทนพลังงาน </t>
  </si>
  <si>
    <t xml:space="preserve">ระยะที่ 3 (มี.ค. 2553 -พ.ค 2555) </t>
  </si>
  <si>
    <t>ระยะที่ 4 (กย.2555- สค.2557)  ขอขยายถึงกพ. 2558</t>
  </si>
  <si>
    <t xml:space="preserve">ระยะที่ 5 (ก.ค.2558 -มิ.ย.2560) </t>
  </si>
  <si>
    <t xml:space="preserve">โครงการวิจัยและผลิตเมล็ดพันธุ์และต้นกล้าปาล์มน้ำมันเพื่อสนับสนุนโครงการปลูกปาล์มน้ำมันเพื่อทดแทนพลังงาน ภาคตะวันออกเฉียงเหนือ </t>
  </si>
  <si>
    <t xml:space="preserve">พ.ค. 2555 -กย. 2556 </t>
  </si>
  <si>
    <t>ผลิตพันธุ์ตามแผนผลิตพันธุ์ปาล์มน้ำมัน (ผ.2)</t>
  </si>
  <si>
    <t>ปีงบประมาณ 2542</t>
  </si>
  <si>
    <t>ปีงบประมาณ 2543</t>
  </si>
  <si>
    <t>ปีงบประมาณ 2544</t>
  </si>
  <si>
    <t>ปีงบประมาณ 2545</t>
  </si>
  <si>
    <t>ปีงบประมาณ 2546</t>
  </si>
  <si>
    <t>ปีงบประมาณ 2547</t>
  </si>
  <si>
    <t>ปีงบประมาณ 2548</t>
  </si>
  <si>
    <t>ปีงบประมาณ 2549</t>
  </si>
  <si>
    <t>ปีงบประมาณ 2550</t>
  </si>
  <si>
    <t>ปีงบประมาณ 2551</t>
  </si>
  <si>
    <t>ปีงบประมาณ 2552</t>
  </si>
  <si>
    <t>ปีงบประมาณ 2553</t>
  </si>
  <si>
    <t>กล้าใหญ่ครบตามแผนเดือน พ.ค.54</t>
  </si>
  <si>
    <t>ปีงบประมาณ 2554</t>
  </si>
  <si>
    <t>เมล็ดครบตามแผนเดือน ม.ค.55 กล้าใหญ่ ก.พ.55</t>
  </si>
  <si>
    <t>ปีงบประมาณ 2555</t>
  </si>
  <si>
    <t>เมล็ดครบตามแผนเดือน ก.พ.56 กล้าใหญ่ ธ.ค.55</t>
  </si>
  <si>
    <t>ปีงบประมาณ 2556</t>
  </si>
  <si>
    <t>เมล็ดครบตามแผนเดือน มี.ค.57 กล้าใหญ่ เดือน ต.ค.56</t>
  </si>
  <si>
    <t>ปีงบประมาณ 2557</t>
  </si>
  <si>
    <t>กล้าใหญ่ครบตามแผนเดือน ต.ค.57</t>
  </si>
  <si>
    <t>ปีงบประมาณ 2558</t>
  </si>
  <si>
    <t>ปีงบประมาณ 2559</t>
  </si>
  <si>
    <t>ปีงบประมาณ 2560</t>
  </si>
  <si>
    <t>รวมจำนวนเมล็ดงอก/ต้นกล้าที่กรมวิชาการเกษตรผลิตและนำไปใช้ประโยชน์  (เมล็ด/ต้น)</t>
  </si>
  <si>
    <t>คิดเป็นพื้นที่ปลูก (1 ไร่ ใช้เมล็ดงอกประมาณ 30 เมล็ดงอก  (ไร่)</t>
  </si>
  <si>
    <t>หมายเหตุ : เนื่องจากต้นกล้าตามแผนการผลิตพันธุ์ปาล์มน้ำมัน (ผ.2) ได้แบ่งเมล็ดงอกส่วนหนึ่งจากเป้าหมายการผลิตมาทำการผลิตต้นกล้า ดังนั้นจึงไม่นับรวมเป็นปริมาณเมล็ดงอกที่ผลิต</t>
  </si>
  <si>
    <t>แต่การผลิตต้นกล้าตามโครงการวิจัยและผลิตเมล็ดพันธุ์และต้นกล้าปาล์มน้ำมันฯ ต้องผลิตเมล็ดงอกเพื่อใช้เพาะเป้นต้นกล้าเพิ่มขึ้น</t>
  </si>
  <si>
    <t>อายุ</t>
  </si>
  <si>
    <t>ผลต่างของผลผลิต</t>
  </si>
  <si>
    <t>(ตัน/ไร่/ปี)</t>
  </si>
  <si>
    <t>รายได้เพิ่ม</t>
  </si>
  <si>
    <t>(บาท/ไร่/ปี)</t>
  </si>
  <si>
    <t>รายได้เพิ่มรวม ในพื้นที่ปลูก350,000ไร่/ปี (บาท)</t>
  </si>
  <si>
    <t>พันธุ์ลูกผสม</t>
  </si>
  <si>
    <t>สุราษฎร์ธานี</t>
  </si>
  <si>
    <t>พันธุ์เปรียบเทียบ</t>
  </si>
  <si>
    <t>อายุ 3 ปี</t>
  </si>
  <si>
    <t>อายุ 4 ปี</t>
  </si>
  <si>
    <t>อายุ 5 ปี</t>
  </si>
  <si>
    <t>อายุ 6 ปี</t>
  </si>
  <si>
    <t>อายุ 7 ปี</t>
  </si>
  <si>
    <t>อายุ 8 ปี</t>
  </si>
  <si>
    <t>อายุ 9 ปี</t>
  </si>
  <si>
    <t>อายุ 10 ปี</t>
  </si>
  <si>
    <t>เฉลี่ย</t>
  </si>
  <si>
    <r>
      <t xml:space="preserve">ผลผลิตทะลายสด </t>
    </r>
    <r>
      <rPr>
        <sz val="16"/>
        <color theme="1"/>
        <rFont val="TH SarabunPSK"/>
        <family val="2"/>
      </rPr>
      <t>(ตัน/ไร่/ปี)</t>
    </r>
  </si>
  <si>
    <t xml:space="preserve"> พันธุ์เปรียบเทียบหรือพันธุ์ที่ด้อยคุณภาพมีน้ำมันประมาณ 17% </t>
  </si>
  <si>
    <t>ล</t>
  </si>
  <si>
    <t>ญ</t>
  </si>
  <si>
    <t>แยกส่งมอบ</t>
  </si>
  <si>
    <t>ต่าง</t>
  </si>
  <si>
    <t xml:space="preserve">เมล็ดงอกขาย (D-H-K) </t>
  </si>
  <si>
    <t>เมล็ดงอกผลิตต้นกล้า 3-5 เดือนทุกศูนย์</t>
  </si>
  <si>
    <t>เมล็ดงอกผลิตต้นกล้า 8-12 เดือนทุกศูนย์</t>
  </si>
  <si>
    <t>เมล็ดงอกส่งมอบที่แยกได้</t>
  </si>
  <si>
    <t>ปี 50และ52 ไม่คิดยอดเมล็ดคิดแต่ต้นกล้าซึ่งรวมแล้วมากกว่ายอดเมล็ด</t>
  </si>
  <si>
    <t>ปีงบประมาณ 2561</t>
  </si>
  <si>
    <t>โครงการผลิตพันธุ์ปาล์มน้ำมันคุณภาพดี</t>
  </si>
  <si>
    <t>ผลการดำเนินงานการผลิตพันธุ์ปาล์มน้ำมันและการนำไปใช้ประโยชน์ของศูนย์วิจัยปาล์มน้ำมันสุราษฎร์ธานี กรมวิชาการเกษตร ตั้งแต่ปี 2542-2560</t>
  </si>
  <si>
    <t>โครงการวิจัยและผลิตเมล็ดพันธุ์และต้นกล้าปาล์มน้ำมันเพื่อสนับสนุนโครงการปลูกปาล์มน้ำมันเพื่อทดแทนพลังงาน ระยะที่ 4</t>
  </si>
  <si>
    <t>โครงการวิจัยและผลิตเมล็ดพันธุ์และต้นกล้าปาล์มน้ำมันเพื่อสนับสนุนโครงการปลูกปาล์มน้ำมันเพื่อทดแทนพลังงาน ระยะที่ 5</t>
  </si>
  <si>
    <t>โครงการวิจัยและผลิตเมล็ดพันธุ์และต้นกล้าปาล์มน้ำมันเพื่อสนับสนุนโครงการปลูกปาล์มน้ำมันเพื่อทดแทนพลังงาน ระยะที่ 3</t>
  </si>
  <si>
    <t xml:space="preserve"> มี.ค. 2553 -พ.ค 2555</t>
  </si>
  <si>
    <t xml:space="preserve"> ก.ค.2558 -มิ.ย.2560 </t>
  </si>
  <si>
    <t>ก.ค.2549-มิ.ย.2552</t>
  </si>
  <si>
    <t>ก.ย.2555- ส.ค.2557ขอขยายถึงก.พ. 2558</t>
  </si>
  <si>
    <t>หมายเหตุ : เนื่องจากต้นกล้าตามแผนการผลิตพันธุ์ปาล์มน้ำมัน (ผ.2) ได้แบ่งเมล็ดงอกส่วนหนึ่งจากเป้าหมายการผลิตมาทำการผลิตต้นกล้า งอกที่ผลิต</t>
  </si>
  <si>
    <t>ดังนั้นจึงไม่นับรวมเป็นปริมาณเมล็ดแต่การผลิตต้นกล้าตามโครงการวิจัยและผลิตเมล็ดพันธุ์และต้นกล้าปาล์มน้ำมันฯ ต้องผลิตเมล็ดงอกเพื่อใช้เพาะ</t>
  </si>
  <si>
    <t>เป็นต้นกล้าเพิ่มขึ้น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</si>
</sst>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_-;\-* #,##0_-;_-* &quot;-&quot;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H SarabunPSK"/>
      <family val="2"/>
    </font>
    <font>
      <sz val="16"/>
      <color rgb="FF000000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" fontId="2" fillId="0" borderId="0" xfId="0" applyNumberFormat="1" applyFont="1"/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6" fillId="0" borderId="0" xfId="0" applyFont="1"/>
    <xf numFmtId="0" fontId="6" fillId="0" borderId="9" xfId="0" applyFont="1" applyBorder="1" applyAlignment="1">
      <alignment horizontal="left" vertical="top" wrapText="1"/>
    </xf>
    <xf numFmtId="187" fontId="6" fillId="0" borderId="9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187" fontId="4" fillId="0" borderId="9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top"/>
    </xf>
    <xf numFmtId="3" fontId="2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/>
    </xf>
    <xf numFmtId="3" fontId="2" fillId="0" borderId="0" xfId="0" applyNumberFormat="1" applyFont="1"/>
    <xf numFmtId="0" fontId="6" fillId="0" borderId="9" xfId="0" applyFont="1" applyBorder="1" applyAlignment="1">
      <alignment vertical="top" wrapText="1"/>
    </xf>
    <xf numFmtId="3" fontId="2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vertical="center" wrapText="1"/>
    </xf>
    <xf numFmtId="3" fontId="6" fillId="0" borderId="0" xfId="0" applyNumberFormat="1" applyFont="1"/>
    <xf numFmtId="0" fontId="6" fillId="0" borderId="9" xfId="0" applyFont="1" applyBorder="1" applyAlignment="1">
      <alignment vertical="top"/>
    </xf>
    <xf numFmtId="0" fontId="6" fillId="0" borderId="9" xfId="0" applyFont="1" applyBorder="1" applyAlignment="1">
      <alignment horizontal="right" vertical="center"/>
    </xf>
    <xf numFmtId="187" fontId="6" fillId="0" borderId="9" xfId="1" applyNumberFormat="1" applyFont="1" applyBorder="1" applyAlignment="1">
      <alignment vertical="center"/>
    </xf>
    <xf numFmtId="0" fontId="6" fillId="0" borderId="9" xfId="0" applyFont="1" applyBorder="1"/>
    <xf numFmtId="187" fontId="7" fillId="0" borderId="9" xfId="1" applyNumberFormat="1" applyFont="1" applyBorder="1" applyAlignment="1">
      <alignment horizontal="right" vertical="center"/>
    </xf>
    <xf numFmtId="187" fontId="7" fillId="0" borderId="9" xfId="1" applyNumberFormat="1" applyFont="1" applyFill="1" applyBorder="1" applyAlignment="1">
      <alignment horizontal="right" vertical="center"/>
    </xf>
    <xf numFmtId="187" fontId="7" fillId="0" borderId="9" xfId="1" applyNumberFormat="1" applyFont="1" applyFill="1" applyBorder="1" applyAlignment="1">
      <alignment vertical="center"/>
    </xf>
    <xf numFmtId="187" fontId="8" fillId="0" borderId="9" xfId="0" applyNumberFormat="1" applyFont="1" applyBorder="1" applyAlignment="1">
      <alignment vertical="center"/>
    </xf>
    <xf numFmtId="187" fontId="4" fillId="0" borderId="9" xfId="0" applyNumberFormat="1" applyFont="1" applyBorder="1" applyAlignment="1">
      <alignment vertical="center"/>
    </xf>
    <xf numFmtId="187" fontId="6" fillId="0" borderId="9" xfId="1" applyNumberFormat="1" applyFont="1" applyFill="1" applyBorder="1" applyAlignment="1">
      <alignment horizontal="right" vertical="center"/>
    </xf>
    <xf numFmtId="187" fontId="6" fillId="0" borderId="9" xfId="1" applyNumberFormat="1" applyFont="1" applyFill="1" applyBorder="1" applyAlignment="1">
      <alignment vertical="center"/>
    </xf>
    <xf numFmtId="0" fontId="6" fillId="0" borderId="9" xfId="0" applyFont="1" applyBorder="1" applyAlignment="1">
      <alignment wrapText="1"/>
    </xf>
    <xf numFmtId="0" fontId="6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6" fillId="3" borderId="9" xfId="0" applyFont="1" applyFill="1" applyBorder="1"/>
    <xf numFmtId="3" fontId="4" fillId="3" borderId="9" xfId="0" applyNumberFormat="1" applyFont="1" applyFill="1" applyBorder="1" applyAlignment="1">
      <alignment horizontal="right" vertical="center"/>
    </xf>
    <xf numFmtId="3" fontId="4" fillId="3" borderId="9" xfId="0" applyNumberFormat="1" applyFont="1" applyFill="1" applyBorder="1" applyAlignment="1">
      <alignment vertical="center"/>
    </xf>
    <xf numFmtId="187" fontId="6" fillId="0" borderId="0" xfId="1" applyNumberFormat="1" applyFont="1"/>
    <xf numFmtId="187" fontId="2" fillId="0" borderId="0" xfId="0" applyNumberFormat="1" applyFont="1"/>
    <xf numFmtId="43" fontId="2" fillId="0" borderId="0" xfId="0" applyNumberFormat="1" applyFont="1"/>
    <xf numFmtId="3" fontId="2" fillId="0" borderId="0" xfId="0" applyNumberFormat="1" applyFont="1" applyAlignment="1">
      <alignment vertical="center"/>
    </xf>
    <xf numFmtId="187" fontId="2" fillId="0" borderId="9" xfId="0" applyNumberFormat="1" applyFont="1" applyBorder="1"/>
    <xf numFmtId="0" fontId="1" fillId="0" borderId="9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187" fontId="6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188" fontId="6" fillId="0" borderId="0" xfId="0" applyNumberFormat="1" applyFont="1"/>
    <xf numFmtId="187" fontId="2" fillId="0" borderId="0" xfId="0" applyNumberFormat="1" applyFont="1" applyAlignment="1">
      <alignment vertical="center"/>
    </xf>
    <xf numFmtId="187" fontId="2" fillId="0" borderId="0" xfId="1" applyNumberFormat="1" applyFont="1"/>
    <xf numFmtId="187" fontId="4" fillId="2" borderId="9" xfId="0" applyNumberFormat="1" applyFont="1" applyFill="1" applyBorder="1" applyAlignment="1">
      <alignment vertical="center"/>
    </xf>
    <xf numFmtId="0" fontId="2" fillId="4" borderId="0" xfId="0" applyFont="1" applyFill="1" applyAlignment="1">
      <alignment horizontal="right" vertical="center"/>
    </xf>
    <xf numFmtId="3" fontId="4" fillId="4" borderId="9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187" fontId="2" fillId="4" borderId="0" xfId="0" applyNumberFormat="1" applyFont="1" applyFill="1" applyAlignment="1">
      <alignment vertical="center"/>
    </xf>
    <xf numFmtId="187" fontId="2" fillId="0" borderId="0" xfId="0" applyNumberFormat="1" applyFont="1" applyAlignment="1">
      <alignment horizontal="right" vertical="center"/>
    </xf>
    <xf numFmtId="3" fontId="6" fillId="0" borderId="9" xfId="0" applyNumberFormat="1" applyFont="1" applyBorder="1" applyAlignment="1">
      <alignment horizontal="center" vertical="center"/>
    </xf>
    <xf numFmtId="187" fontId="7" fillId="2" borderId="9" xfId="1" applyNumberFormat="1" applyFont="1" applyFill="1" applyBorder="1" applyAlignment="1">
      <alignment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horizontal="right" vertical="center" wrapText="1"/>
    </xf>
    <xf numFmtId="187" fontId="7" fillId="3" borderId="9" xfId="1" applyNumberFormat="1" applyFont="1" applyFill="1" applyBorder="1" applyAlignment="1">
      <alignment horizontal="right" vertical="center"/>
    </xf>
    <xf numFmtId="187" fontId="6" fillId="3" borderId="9" xfId="1" applyNumberFormat="1" applyFont="1" applyFill="1" applyBorder="1" applyAlignment="1">
      <alignment horizontal="right" vertical="center"/>
    </xf>
    <xf numFmtId="0" fontId="1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3" fontId="2" fillId="5" borderId="9" xfId="0" applyNumberFormat="1" applyFont="1" applyFill="1" applyBorder="1" applyAlignment="1">
      <alignment horizontal="right" vertical="center"/>
    </xf>
    <xf numFmtId="3" fontId="2" fillId="5" borderId="9" xfId="0" applyNumberFormat="1" applyFont="1" applyFill="1" applyBorder="1" applyAlignment="1">
      <alignment vertical="center"/>
    </xf>
    <xf numFmtId="3" fontId="6" fillId="5" borderId="9" xfId="0" applyNumberFormat="1" applyFont="1" applyFill="1" applyBorder="1" applyAlignment="1">
      <alignment horizontal="right" vertical="center" wrapText="1"/>
    </xf>
    <xf numFmtId="0" fontId="6" fillId="5" borderId="9" xfId="0" applyFont="1" applyFill="1" applyBorder="1" applyAlignment="1">
      <alignment horizontal="right" vertical="center"/>
    </xf>
    <xf numFmtId="187" fontId="7" fillId="5" borderId="9" xfId="1" applyNumberFormat="1" applyFont="1" applyFill="1" applyBorder="1" applyAlignment="1">
      <alignment horizontal="right" vertical="center"/>
    </xf>
    <xf numFmtId="187" fontId="6" fillId="5" borderId="9" xfId="1" applyNumberFormat="1" applyFont="1" applyFill="1" applyBorder="1" applyAlignment="1">
      <alignment horizontal="right" vertical="center"/>
    </xf>
    <xf numFmtId="0" fontId="2" fillId="5" borderId="9" xfId="0" applyFont="1" applyFill="1" applyBorder="1" applyAlignment="1">
      <alignment vertical="center"/>
    </xf>
    <xf numFmtId="187" fontId="2" fillId="5" borderId="9" xfId="0" applyNumberFormat="1" applyFont="1" applyFill="1" applyBorder="1" applyAlignment="1">
      <alignment vertical="center"/>
    </xf>
    <xf numFmtId="0" fontId="1" fillId="6" borderId="9" xfId="0" applyFont="1" applyFill="1" applyBorder="1" applyAlignment="1">
      <alignment horizontal="center" vertical="center" wrapText="1"/>
    </xf>
    <xf numFmtId="187" fontId="6" fillId="6" borderId="9" xfId="1" applyNumberFormat="1" applyFont="1" applyFill="1" applyBorder="1" applyAlignment="1">
      <alignment horizontal="right" vertical="center"/>
    </xf>
    <xf numFmtId="0" fontId="6" fillId="6" borderId="9" xfId="0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vertical="center"/>
    </xf>
    <xf numFmtId="3" fontId="6" fillId="6" borderId="9" xfId="0" applyNumberFormat="1" applyFont="1" applyFill="1" applyBorder="1" applyAlignment="1">
      <alignment vertical="center" wrapText="1"/>
    </xf>
    <xf numFmtId="187" fontId="6" fillId="6" borderId="9" xfId="1" applyNumberFormat="1" applyFont="1" applyFill="1" applyBorder="1" applyAlignment="1">
      <alignment vertical="center"/>
    </xf>
    <xf numFmtId="187" fontId="7" fillId="6" borderId="9" xfId="1" applyNumberFormat="1" applyFont="1" applyFill="1" applyBorder="1" applyAlignment="1">
      <alignment vertical="center"/>
    </xf>
    <xf numFmtId="0" fontId="2" fillId="6" borderId="9" xfId="0" applyFont="1" applyFill="1" applyBorder="1"/>
    <xf numFmtId="187" fontId="2" fillId="6" borderId="9" xfId="0" applyNumberFormat="1" applyFont="1" applyFill="1" applyBorder="1"/>
    <xf numFmtId="0" fontId="1" fillId="3" borderId="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9" xfId="0" applyFont="1" applyFill="1" applyBorder="1" applyAlignment="1">
      <alignment wrapText="1"/>
    </xf>
    <xf numFmtId="187" fontId="4" fillId="2" borderId="9" xfId="1" applyNumberFormat="1" applyFont="1" applyFill="1" applyBorder="1" applyAlignment="1">
      <alignment horizontal="right" vertical="center"/>
    </xf>
    <xf numFmtId="187" fontId="4" fillId="2" borderId="9" xfId="1" applyNumberFormat="1" applyFont="1" applyFill="1" applyBorder="1" applyAlignment="1">
      <alignment vertical="center"/>
    </xf>
    <xf numFmtId="0" fontId="4" fillId="2" borderId="0" xfId="0" applyFont="1" applyFill="1"/>
    <xf numFmtId="187" fontId="2" fillId="2" borderId="0" xfId="1" applyNumberFormat="1" applyFont="1" applyFill="1" applyAlignment="1">
      <alignment horizontal="right" vertical="center"/>
    </xf>
    <xf numFmtId="187" fontId="2" fillId="2" borderId="0" xfId="1" applyNumberFormat="1" applyFont="1" applyFill="1" applyAlignment="1">
      <alignment vertical="center"/>
    </xf>
    <xf numFmtId="187" fontId="4" fillId="7" borderId="9" xfId="1" applyNumberFormat="1" applyFont="1" applyFill="1" applyBorder="1" applyAlignment="1">
      <alignment vertical="center"/>
    </xf>
    <xf numFmtId="187" fontId="4" fillId="7" borderId="9" xfId="1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0" workbookViewId="0">
      <selection activeCell="H4" sqref="H4"/>
    </sheetView>
  </sheetViews>
  <sheetFormatPr defaultRowHeight="21" x14ac:dyDescent="0.35"/>
  <cols>
    <col min="1" max="5" width="9" style="12"/>
    <col min="6" max="6" width="23.375" style="12" customWidth="1"/>
    <col min="7" max="7" width="15.625" style="12" customWidth="1"/>
    <col min="8" max="8" width="14.375" style="12" bestFit="1" customWidth="1"/>
    <col min="9" max="9" width="16.125" style="12" customWidth="1"/>
    <col min="10" max="10" width="18" style="12" customWidth="1"/>
    <col min="11" max="11" width="17.875" style="12" customWidth="1"/>
    <col min="12" max="12" width="9.875" style="12" bestFit="1" customWidth="1"/>
    <col min="13" max="16384" width="9" style="12"/>
  </cols>
  <sheetData>
    <row r="1" spans="1:12" ht="55.5" customHeight="1" thickBot="1" x14ac:dyDescent="0.4">
      <c r="A1" s="124" t="s">
        <v>50</v>
      </c>
      <c r="B1" s="127" t="s">
        <v>68</v>
      </c>
      <c r="C1" s="128"/>
      <c r="D1" s="54" t="s">
        <v>51</v>
      </c>
      <c r="E1" s="54" t="s">
        <v>53</v>
      </c>
      <c r="F1" s="124" t="s">
        <v>55</v>
      </c>
    </row>
    <row r="2" spans="1:12" ht="42" x14ac:dyDescent="0.35">
      <c r="A2" s="125"/>
      <c r="B2" s="55" t="s">
        <v>56</v>
      </c>
      <c r="C2" s="124" t="s">
        <v>58</v>
      </c>
      <c r="D2" s="56" t="s">
        <v>52</v>
      </c>
      <c r="E2" s="56" t="s">
        <v>54</v>
      </c>
      <c r="F2" s="125"/>
    </row>
    <row r="3" spans="1:12" ht="42.75" thickBot="1" x14ac:dyDescent="0.4">
      <c r="A3" s="126"/>
      <c r="B3" s="57" t="s">
        <v>57</v>
      </c>
      <c r="C3" s="126"/>
      <c r="D3" s="58"/>
      <c r="E3" s="58"/>
      <c r="F3" s="126"/>
    </row>
    <row r="4" spans="1:12" ht="21.75" thickBot="1" x14ac:dyDescent="0.4">
      <c r="A4" s="59" t="s">
        <v>59</v>
      </c>
      <c r="B4" s="60">
        <v>1.28</v>
      </c>
      <c r="C4" s="60">
        <v>0.72</v>
      </c>
      <c r="D4" s="57">
        <v>0.56000000000000005</v>
      </c>
      <c r="E4" s="61">
        <v>2243</v>
      </c>
      <c r="F4" s="61">
        <v>785050000</v>
      </c>
      <c r="G4" s="62">
        <f t="shared" ref="G4:G13" si="0">D4*1000</f>
        <v>560</v>
      </c>
      <c r="H4" s="47">
        <f t="shared" ref="H4:H13" si="1">G4*3.5</f>
        <v>1960</v>
      </c>
      <c r="I4" s="29">
        <v>1100000</v>
      </c>
      <c r="J4" s="47">
        <f>H4*I4</f>
        <v>2156000000</v>
      </c>
      <c r="K4" s="12">
        <f>G4/1000</f>
        <v>0.56000000000000005</v>
      </c>
      <c r="L4" s="12">
        <f>E4*350000</f>
        <v>785050000</v>
      </c>
    </row>
    <row r="5" spans="1:12" ht="21.75" thickBot="1" x14ac:dyDescent="0.4">
      <c r="A5" s="59" t="s">
        <v>60</v>
      </c>
      <c r="B5" s="60">
        <v>2.97</v>
      </c>
      <c r="C5" s="60">
        <v>1.2</v>
      </c>
      <c r="D5" s="57">
        <v>1.76</v>
      </c>
      <c r="E5" s="61">
        <v>7057</v>
      </c>
      <c r="F5" s="61">
        <v>2469950000</v>
      </c>
      <c r="G5" s="12">
        <f t="shared" si="0"/>
        <v>1760</v>
      </c>
      <c r="H5" s="47">
        <f t="shared" si="1"/>
        <v>6160</v>
      </c>
      <c r="I5" s="29">
        <v>1100000</v>
      </c>
      <c r="J5" s="47">
        <f>H5*I5</f>
        <v>6776000000</v>
      </c>
    </row>
    <row r="6" spans="1:12" ht="21.75" thickBot="1" x14ac:dyDescent="0.4">
      <c r="A6" s="59" t="s">
        <v>61</v>
      </c>
      <c r="B6" s="60">
        <v>3.14</v>
      </c>
      <c r="C6" s="60">
        <v>2.0099999999999998</v>
      </c>
      <c r="D6" s="57">
        <v>1.1399999999999999</v>
      </c>
      <c r="E6" s="61">
        <v>4540</v>
      </c>
      <c r="F6" s="61">
        <v>1589000000</v>
      </c>
      <c r="G6" s="12">
        <f t="shared" si="0"/>
        <v>1140</v>
      </c>
      <c r="H6" s="47">
        <f t="shared" si="1"/>
        <v>3990</v>
      </c>
      <c r="I6" s="29">
        <v>1100000</v>
      </c>
      <c r="J6" s="47">
        <f t="shared" ref="J6:J13" si="2">I6*H6</f>
        <v>4389000000</v>
      </c>
    </row>
    <row r="7" spans="1:12" ht="21.75" thickBot="1" x14ac:dyDescent="0.4">
      <c r="A7" s="59" t="s">
        <v>62</v>
      </c>
      <c r="B7" s="60">
        <v>3.73</v>
      </c>
      <c r="C7" s="60">
        <v>2.65</v>
      </c>
      <c r="D7" s="57">
        <v>1.08</v>
      </c>
      <c r="E7" s="61">
        <v>4311</v>
      </c>
      <c r="F7" s="61">
        <v>1508850000</v>
      </c>
      <c r="G7" s="12">
        <f t="shared" si="0"/>
        <v>1080</v>
      </c>
      <c r="H7" s="47">
        <f t="shared" si="1"/>
        <v>3780</v>
      </c>
      <c r="I7" s="29">
        <v>1100000</v>
      </c>
      <c r="J7" s="47">
        <f t="shared" si="2"/>
        <v>4158000000</v>
      </c>
    </row>
    <row r="8" spans="1:12" ht="21.75" thickBot="1" x14ac:dyDescent="0.4">
      <c r="A8" s="59" t="s">
        <v>63</v>
      </c>
      <c r="B8" s="60">
        <v>4.1100000000000003</v>
      </c>
      <c r="C8" s="60">
        <v>3.05</v>
      </c>
      <c r="D8" s="57">
        <v>1.06</v>
      </c>
      <c r="E8" s="61">
        <v>4237</v>
      </c>
      <c r="F8" s="61">
        <v>1482950000</v>
      </c>
      <c r="G8" s="12">
        <f t="shared" si="0"/>
        <v>1060</v>
      </c>
      <c r="H8" s="47">
        <f t="shared" si="1"/>
        <v>3710</v>
      </c>
      <c r="I8" s="29">
        <v>1100000</v>
      </c>
      <c r="J8" s="47">
        <f t="shared" si="2"/>
        <v>4081000000</v>
      </c>
    </row>
    <row r="9" spans="1:12" ht="21.75" thickBot="1" x14ac:dyDescent="0.4">
      <c r="A9" s="59" t="s">
        <v>64</v>
      </c>
      <c r="B9" s="60">
        <v>3.94</v>
      </c>
      <c r="C9" s="60">
        <v>3.17</v>
      </c>
      <c r="D9" s="57">
        <v>0.77</v>
      </c>
      <c r="E9" s="61">
        <v>3065</v>
      </c>
      <c r="F9" s="61">
        <v>1072750000</v>
      </c>
      <c r="G9" s="12">
        <f t="shared" si="0"/>
        <v>770</v>
      </c>
      <c r="H9" s="47">
        <f t="shared" si="1"/>
        <v>2695</v>
      </c>
      <c r="I9" s="29">
        <v>1100000</v>
      </c>
      <c r="J9" s="47">
        <f t="shared" si="2"/>
        <v>2964500000</v>
      </c>
    </row>
    <row r="10" spans="1:12" ht="21.75" thickBot="1" x14ac:dyDescent="0.4">
      <c r="A10" s="59" t="s">
        <v>65</v>
      </c>
      <c r="B10" s="60">
        <v>5.01</v>
      </c>
      <c r="C10" s="60">
        <v>3.25</v>
      </c>
      <c r="D10" s="57">
        <v>1.75</v>
      </c>
      <c r="E10" s="61">
        <v>7010</v>
      </c>
      <c r="F10" s="61">
        <v>2453500000</v>
      </c>
      <c r="G10" s="12">
        <f t="shared" si="0"/>
        <v>1750</v>
      </c>
      <c r="H10" s="47">
        <f t="shared" si="1"/>
        <v>6125</v>
      </c>
      <c r="I10" s="29">
        <v>1100000</v>
      </c>
      <c r="J10" s="47">
        <f t="shared" si="2"/>
        <v>6737500000</v>
      </c>
    </row>
    <row r="11" spans="1:12" ht="21.75" thickBot="1" x14ac:dyDescent="0.4">
      <c r="A11" s="59" t="s">
        <v>66</v>
      </c>
      <c r="B11" s="60">
        <v>4.59</v>
      </c>
      <c r="C11" s="60">
        <v>3.25</v>
      </c>
      <c r="D11" s="57">
        <v>1.34</v>
      </c>
      <c r="E11" s="61">
        <v>5358</v>
      </c>
      <c r="F11" s="61">
        <v>1875300000</v>
      </c>
      <c r="G11" s="12">
        <f t="shared" si="0"/>
        <v>1340</v>
      </c>
      <c r="H11" s="47">
        <f t="shared" si="1"/>
        <v>4690</v>
      </c>
      <c r="I11" s="29">
        <v>1100000</v>
      </c>
      <c r="J11" s="47">
        <f t="shared" si="2"/>
        <v>5159000000</v>
      </c>
    </row>
    <row r="12" spans="1:12" ht="21.75" thickBot="1" x14ac:dyDescent="0.4">
      <c r="A12" s="63" t="s">
        <v>67</v>
      </c>
      <c r="B12" s="64">
        <v>3.6</v>
      </c>
      <c r="C12" s="64">
        <v>2.41</v>
      </c>
      <c r="D12" s="64">
        <v>1.18</v>
      </c>
      <c r="E12" s="65">
        <v>4727</v>
      </c>
      <c r="F12" s="66">
        <v>1654668750</v>
      </c>
      <c r="G12" s="12">
        <f t="shared" si="0"/>
        <v>1180</v>
      </c>
      <c r="H12" s="47">
        <f t="shared" si="1"/>
        <v>4130</v>
      </c>
      <c r="I12" s="29">
        <v>1100000</v>
      </c>
      <c r="J12" s="67">
        <f t="shared" si="2"/>
        <v>4543000000</v>
      </c>
    </row>
    <row r="13" spans="1:12" ht="21.75" thickBot="1" x14ac:dyDescent="0.4">
      <c r="A13" s="63" t="s">
        <v>0</v>
      </c>
      <c r="B13" s="64">
        <v>28.77</v>
      </c>
      <c r="C13" s="64">
        <v>19.3</v>
      </c>
      <c r="D13" s="64">
        <v>9.4600000000000009</v>
      </c>
      <c r="E13" s="65">
        <v>37821</v>
      </c>
      <c r="F13" s="66">
        <v>13237350000</v>
      </c>
      <c r="G13" s="12">
        <f t="shared" si="0"/>
        <v>9460</v>
      </c>
      <c r="H13" s="47">
        <f t="shared" si="1"/>
        <v>33110</v>
      </c>
      <c r="I13" s="29">
        <v>1100000</v>
      </c>
      <c r="J13" s="67">
        <f t="shared" si="2"/>
        <v>36421000000</v>
      </c>
    </row>
    <row r="15" spans="1:12" ht="21.75" thickBot="1" x14ac:dyDescent="0.4">
      <c r="B15" s="60">
        <v>1.28</v>
      </c>
    </row>
    <row r="16" spans="1:12" ht="21.75" thickBot="1" x14ac:dyDescent="0.4">
      <c r="B16" s="60">
        <v>2.97</v>
      </c>
    </row>
    <row r="17" spans="2:11" ht="21.75" thickBot="1" x14ac:dyDescent="0.4">
      <c r="B17" s="60">
        <v>3.14</v>
      </c>
      <c r="F17" s="68">
        <v>3.6</v>
      </c>
      <c r="G17" s="69">
        <v>1260000</v>
      </c>
      <c r="H17" s="69">
        <v>5040000000</v>
      </c>
      <c r="I17" s="69">
        <v>5418000000</v>
      </c>
      <c r="J17" s="69">
        <v>5796000000</v>
      </c>
      <c r="K17" s="69">
        <v>6174000000</v>
      </c>
    </row>
    <row r="18" spans="2:11" ht="21.75" thickBot="1" x14ac:dyDescent="0.4">
      <c r="B18" s="60">
        <v>3.73</v>
      </c>
      <c r="F18" s="68">
        <v>2.41</v>
      </c>
      <c r="G18" s="69">
        <v>843500</v>
      </c>
      <c r="H18" s="69">
        <v>3374000000</v>
      </c>
      <c r="I18" s="129" t="s">
        <v>69</v>
      </c>
      <c r="J18" s="130"/>
      <c r="K18" s="131"/>
    </row>
    <row r="19" spans="2:11" ht="21.75" thickBot="1" x14ac:dyDescent="0.4">
      <c r="B19" s="60">
        <v>4.1100000000000003</v>
      </c>
    </row>
    <row r="20" spans="2:11" ht="21.75" thickBot="1" x14ac:dyDescent="0.4">
      <c r="B20" s="60">
        <v>3.94</v>
      </c>
      <c r="G20" s="12">
        <f>F17*350000</f>
        <v>1260000</v>
      </c>
    </row>
    <row r="21" spans="2:11" ht="21.75" thickBot="1" x14ac:dyDescent="0.4">
      <c r="B21" s="60">
        <v>5.01</v>
      </c>
    </row>
    <row r="22" spans="2:11" ht="21.75" thickBot="1" x14ac:dyDescent="0.4">
      <c r="B22" s="60">
        <v>4.59</v>
      </c>
    </row>
    <row r="23" spans="2:11" x14ac:dyDescent="0.35">
      <c r="B23" s="12">
        <f>SUM(B15:B22)</f>
        <v>28.77</v>
      </c>
      <c r="G23" s="47">
        <f>F17*1070000</f>
        <v>3852000</v>
      </c>
      <c r="H23" s="47">
        <f>G23*3.5*1000</f>
        <v>13482000000</v>
      </c>
      <c r="I23" s="70">
        <f>G23*3.8*1000</f>
        <v>14637600000</v>
      </c>
      <c r="J23" s="70">
        <f>G23*4.1*1000</f>
        <v>15793199999.999998</v>
      </c>
      <c r="K23" s="70">
        <f>G23*4.4*1000</f>
        <v>16948800000</v>
      </c>
    </row>
    <row r="24" spans="2:11" x14ac:dyDescent="0.35">
      <c r="G24" s="47">
        <f>F18*1070000</f>
        <v>2578700</v>
      </c>
      <c r="H24" s="47">
        <f>G24*3.5*1000</f>
        <v>9025450000</v>
      </c>
      <c r="I24" s="70">
        <f>G24*3.8*1000</f>
        <v>9799060000</v>
      </c>
      <c r="J24" s="70">
        <f>G24*4.1*1000</f>
        <v>10572670000</v>
      </c>
      <c r="K24" s="70">
        <f>G24*4.4*1000</f>
        <v>11346280000</v>
      </c>
    </row>
  </sheetData>
  <mergeCells count="5">
    <mergeCell ref="A1:A3"/>
    <mergeCell ref="B1:C1"/>
    <mergeCell ref="F1:F3"/>
    <mergeCell ref="C2:C3"/>
    <mergeCell ref="I18:K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49"/>
  <sheetViews>
    <sheetView topLeftCell="C16" workbookViewId="0">
      <selection activeCell="F31" sqref="F31"/>
    </sheetView>
  </sheetViews>
  <sheetFormatPr defaultColWidth="9" defaultRowHeight="18.75" x14ac:dyDescent="0.3"/>
  <cols>
    <col min="1" max="1" width="5.5" style="1" customWidth="1"/>
    <col min="2" max="2" width="41.75" style="1" customWidth="1"/>
    <col min="3" max="3" width="23.125" style="1" customWidth="1"/>
    <col min="4" max="4" width="10.875" style="6" customWidth="1"/>
    <col min="5" max="5" width="14.625" style="6" customWidth="1"/>
    <col min="6" max="7" width="13.625" style="6" customWidth="1"/>
    <col min="8" max="8" width="13.625" style="74" customWidth="1"/>
    <col min="9" max="10" width="13.625" style="2" customWidth="1"/>
    <col min="11" max="11" width="13.625" style="76" customWidth="1"/>
    <col min="12" max="12" width="13.625" style="2" customWidth="1"/>
    <col min="13" max="13" width="14" style="2" customWidth="1"/>
    <col min="14" max="14" width="9" style="1"/>
    <col min="15" max="15" width="12.25" style="1" bestFit="1" customWidth="1"/>
    <col min="16" max="16" width="10.625" style="1" bestFit="1" customWidth="1"/>
    <col min="17" max="17" width="9.25" style="1" bestFit="1" customWidth="1"/>
    <col min="18" max="16384" width="9" style="1"/>
  </cols>
  <sheetData>
    <row r="2" spans="1:21" ht="26.25" x14ac:dyDescent="0.4">
      <c r="A2" s="4"/>
      <c r="B2" s="4" t="s">
        <v>1</v>
      </c>
      <c r="C2" s="4"/>
      <c r="D2" s="5"/>
      <c r="E2" s="5"/>
      <c r="U2" s="7">
        <v>240363</v>
      </c>
    </row>
    <row r="3" spans="1:21" s="12" customFormat="1" ht="56.25" customHeight="1" x14ac:dyDescent="0.35">
      <c r="A3" s="8" t="s">
        <v>2</v>
      </c>
      <c r="B3" s="9" t="s">
        <v>3</v>
      </c>
      <c r="C3" s="9" t="s">
        <v>4</v>
      </c>
      <c r="D3" s="105" t="s">
        <v>5</v>
      </c>
      <c r="E3" s="105" t="s">
        <v>74</v>
      </c>
      <c r="F3" s="86" t="s">
        <v>6</v>
      </c>
      <c r="G3" s="86" t="s">
        <v>77</v>
      </c>
      <c r="H3" s="86" t="s">
        <v>75</v>
      </c>
      <c r="I3" s="96" t="s">
        <v>7</v>
      </c>
      <c r="J3" s="96" t="s">
        <v>77</v>
      </c>
      <c r="K3" s="96" t="s">
        <v>76</v>
      </c>
      <c r="L3" s="52" t="s">
        <v>0</v>
      </c>
      <c r="M3" s="52" t="s">
        <v>8</v>
      </c>
    </row>
    <row r="4" spans="1:21" s="12" customFormat="1" ht="42" x14ac:dyDescent="0.35">
      <c r="A4" s="8">
        <v>1</v>
      </c>
      <c r="B4" s="13" t="s">
        <v>9</v>
      </c>
      <c r="C4" s="13" t="s">
        <v>10</v>
      </c>
      <c r="D4" s="85">
        <v>1350000</v>
      </c>
      <c r="E4" s="85"/>
      <c r="F4" s="87"/>
      <c r="G4" s="87"/>
      <c r="H4" s="87"/>
      <c r="I4" s="97">
        <v>1350000</v>
      </c>
      <c r="J4" s="97"/>
      <c r="K4" s="97">
        <v>1350000</v>
      </c>
      <c r="L4" s="14">
        <f>D4</f>
        <v>1350000</v>
      </c>
      <c r="M4" s="16">
        <f>D4</f>
        <v>1350000</v>
      </c>
    </row>
    <row r="5" spans="1:21" s="12" customFormat="1" ht="42" x14ac:dyDescent="0.35">
      <c r="A5" s="8">
        <v>2</v>
      </c>
      <c r="B5" s="13" t="s">
        <v>11</v>
      </c>
      <c r="C5" s="17" t="s">
        <v>12</v>
      </c>
      <c r="D5" s="81">
        <v>318045</v>
      </c>
      <c r="E5" s="81">
        <v>318045</v>
      </c>
      <c r="F5" s="88">
        <v>800000</v>
      </c>
      <c r="G5" s="88"/>
      <c r="H5" s="88">
        <v>800000</v>
      </c>
      <c r="I5" s="98"/>
      <c r="J5" s="98"/>
      <c r="K5" s="98"/>
      <c r="L5" s="79">
        <f>D5+F5</f>
        <v>1118045</v>
      </c>
      <c r="M5" s="20">
        <f>D5+F5</f>
        <v>1118045</v>
      </c>
    </row>
    <row r="6" spans="1:21" s="12" customFormat="1" ht="42" customHeight="1" x14ac:dyDescent="0.35">
      <c r="A6" s="8">
        <v>3</v>
      </c>
      <c r="B6" s="21" t="s">
        <v>13</v>
      </c>
      <c r="C6" s="22" t="s">
        <v>14</v>
      </c>
      <c r="D6" s="81">
        <v>2008904</v>
      </c>
      <c r="E6" s="81">
        <v>2008904</v>
      </c>
      <c r="F6" s="88">
        <v>724543</v>
      </c>
      <c r="G6" s="88"/>
      <c r="H6" s="88">
        <v>724543</v>
      </c>
      <c r="I6" s="98"/>
      <c r="J6" s="98"/>
      <c r="K6" s="98"/>
      <c r="L6" s="79">
        <f>D6+F6</f>
        <v>2733447</v>
      </c>
      <c r="M6" s="20">
        <f>D6+F6</f>
        <v>2733447</v>
      </c>
      <c r="O6" s="23"/>
      <c r="P6" s="23"/>
    </row>
    <row r="7" spans="1:21" s="12" customFormat="1" ht="50.25" customHeight="1" x14ac:dyDescent="0.35">
      <c r="A7" s="8">
        <v>4</v>
      </c>
      <c r="B7" s="24" t="s">
        <v>15</v>
      </c>
      <c r="C7" s="24" t="s">
        <v>16</v>
      </c>
      <c r="D7" s="82">
        <v>2387120</v>
      </c>
      <c r="E7" s="82">
        <v>2387120</v>
      </c>
      <c r="F7" s="89">
        <v>824845</v>
      </c>
      <c r="G7" s="89"/>
      <c r="H7" s="89">
        <v>824845</v>
      </c>
      <c r="I7" s="99">
        <v>29690</v>
      </c>
      <c r="J7" s="99"/>
      <c r="K7" s="99">
        <v>29690</v>
      </c>
      <c r="L7" s="26">
        <f>D7+F7+I7</f>
        <v>3241655</v>
      </c>
      <c r="M7" s="20">
        <f>D7+F7+I7</f>
        <v>3241655</v>
      </c>
      <c r="O7" s="3"/>
      <c r="P7" s="23"/>
    </row>
    <row r="8" spans="1:21" s="12" customFormat="1" ht="42" x14ac:dyDescent="0.35">
      <c r="A8" s="8">
        <v>5</v>
      </c>
      <c r="B8" s="24" t="s">
        <v>15</v>
      </c>
      <c r="C8" s="24" t="s">
        <v>17</v>
      </c>
      <c r="D8" s="83">
        <v>1072673</v>
      </c>
      <c r="E8" s="83">
        <v>1072673</v>
      </c>
      <c r="F8" s="90">
        <v>783594</v>
      </c>
      <c r="G8" s="90"/>
      <c r="H8" s="90">
        <v>783594</v>
      </c>
      <c r="I8" s="100">
        <v>151714</v>
      </c>
      <c r="J8" s="100"/>
      <c r="K8" s="100">
        <v>151714</v>
      </c>
      <c r="L8" s="28">
        <f>D8+F8+I8</f>
        <v>2007981</v>
      </c>
      <c r="M8" s="20">
        <f>D8+F8+I8</f>
        <v>2007981</v>
      </c>
      <c r="N8" s="29"/>
    </row>
    <row r="9" spans="1:21" s="12" customFormat="1" ht="42" x14ac:dyDescent="0.35">
      <c r="A9" s="8">
        <v>6</v>
      </c>
      <c r="B9" s="24" t="s">
        <v>15</v>
      </c>
      <c r="C9" s="24" t="s">
        <v>18</v>
      </c>
      <c r="D9" s="83">
        <v>1323997</v>
      </c>
      <c r="E9" s="83">
        <v>1323997</v>
      </c>
      <c r="F9" s="90">
        <v>856685</v>
      </c>
      <c r="G9" s="90"/>
      <c r="H9" s="90">
        <v>856685</v>
      </c>
      <c r="I9" s="100">
        <v>312603</v>
      </c>
      <c r="J9" s="100"/>
      <c r="K9" s="100">
        <v>312603</v>
      </c>
      <c r="L9" s="28">
        <f>D9+F9+I9</f>
        <v>2493285</v>
      </c>
      <c r="M9" s="20">
        <f>D9+F9+I9</f>
        <v>2493285</v>
      </c>
    </row>
    <row r="10" spans="1:21" s="12" customFormat="1" ht="63" x14ac:dyDescent="0.35">
      <c r="A10" s="8">
        <v>7</v>
      </c>
      <c r="B10" s="24" t="s">
        <v>19</v>
      </c>
      <c r="C10" s="30" t="s">
        <v>20</v>
      </c>
      <c r="D10" s="85">
        <v>700000</v>
      </c>
      <c r="E10" s="85">
        <v>700000</v>
      </c>
      <c r="F10" s="91"/>
      <c r="G10" s="91"/>
      <c r="H10" s="91"/>
      <c r="I10" s="101"/>
      <c r="J10" s="101"/>
      <c r="K10" s="101"/>
      <c r="L10" s="32">
        <f>D10</f>
        <v>700000</v>
      </c>
      <c r="M10" s="14">
        <f>D10</f>
        <v>700000</v>
      </c>
      <c r="O10" s="12">
        <f>10763148/30</f>
        <v>358771.6</v>
      </c>
    </row>
    <row r="11" spans="1:21" s="12" customFormat="1" ht="21" x14ac:dyDescent="0.35">
      <c r="A11" s="8">
        <v>8</v>
      </c>
      <c r="B11" s="33" t="s">
        <v>21</v>
      </c>
      <c r="C11" s="33" t="s">
        <v>22</v>
      </c>
      <c r="D11" s="84">
        <v>97968</v>
      </c>
      <c r="E11" s="84"/>
      <c r="F11" s="92">
        <v>50000</v>
      </c>
      <c r="G11" s="92"/>
      <c r="H11" s="92">
        <v>50000</v>
      </c>
      <c r="I11" s="102">
        <v>47968</v>
      </c>
      <c r="J11" s="102"/>
      <c r="K11" s="102">
        <v>47968</v>
      </c>
      <c r="L11" s="36">
        <f>F11+I11</f>
        <v>97968</v>
      </c>
      <c r="M11" s="37">
        <f t="shared" ref="M11:M15" si="0">SUM(D11)</f>
        <v>97968</v>
      </c>
    </row>
    <row r="12" spans="1:21" s="12" customFormat="1" ht="21" x14ac:dyDescent="0.35">
      <c r="A12" s="8">
        <v>9</v>
      </c>
      <c r="B12" s="33" t="s">
        <v>21</v>
      </c>
      <c r="C12" s="33" t="s">
        <v>23</v>
      </c>
      <c r="D12" s="84">
        <v>187704</v>
      </c>
      <c r="E12" s="84"/>
      <c r="F12" s="92">
        <v>0</v>
      </c>
      <c r="G12" s="92"/>
      <c r="H12" s="92">
        <v>0</v>
      </c>
      <c r="I12" s="102">
        <v>187704</v>
      </c>
      <c r="J12" s="102"/>
      <c r="K12" s="102">
        <v>187704</v>
      </c>
      <c r="L12" s="36">
        <f>I12</f>
        <v>187704</v>
      </c>
      <c r="M12" s="37">
        <f t="shared" si="0"/>
        <v>187704</v>
      </c>
    </row>
    <row r="13" spans="1:21" s="12" customFormat="1" ht="21" x14ac:dyDescent="0.35">
      <c r="A13" s="8">
        <v>10</v>
      </c>
      <c r="B13" s="33" t="s">
        <v>21</v>
      </c>
      <c r="C13" s="33" t="s">
        <v>24</v>
      </c>
      <c r="D13" s="84">
        <v>857192</v>
      </c>
      <c r="E13" s="84">
        <f t="shared" ref="E13:E18" si="1">D13-H13-K13</f>
        <v>162500</v>
      </c>
      <c r="F13" s="92">
        <v>260525</v>
      </c>
      <c r="G13" s="92"/>
      <c r="H13" s="92">
        <v>260525</v>
      </c>
      <c r="I13" s="102">
        <v>434167</v>
      </c>
      <c r="J13" s="102"/>
      <c r="K13" s="102">
        <v>434167</v>
      </c>
      <c r="L13" s="36">
        <f t="shared" ref="L13:L18" si="2">E13+F13+I13</f>
        <v>857192</v>
      </c>
      <c r="M13" s="37">
        <f t="shared" si="0"/>
        <v>857192</v>
      </c>
    </row>
    <row r="14" spans="1:21" s="12" customFormat="1" ht="21" x14ac:dyDescent="0.35">
      <c r="A14" s="8">
        <v>11</v>
      </c>
      <c r="B14" s="33" t="s">
        <v>21</v>
      </c>
      <c r="C14" s="33" t="s">
        <v>25</v>
      </c>
      <c r="D14" s="84">
        <v>1255467</v>
      </c>
      <c r="E14" s="84">
        <f t="shared" si="1"/>
        <v>256000</v>
      </c>
      <c r="F14" s="92">
        <v>265800</v>
      </c>
      <c r="G14" s="92"/>
      <c r="H14" s="92">
        <v>265800</v>
      </c>
      <c r="I14" s="102">
        <v>733667</v>
      </c>
      <c r="J14" s="102"/>
      <c r="K14" s="102">
        <v>733667</v>
      </c>
      <c r="L14" s="36">
        <f t="shared" si="2"/>
        <v>1255467</v>
      </c>
      <c r="M14" s="37">
        <f t="shared" si="0"/>
        <v>1255467</v>
      </c>
    </row>
    <row r="15" spans="1:21" s="12" customFormat="1" ht="21" x14ac:dyDescent="0.35">
      <c r="A15" s="8">
        <v>12</v>
      </c>
      <c r="B15" s="33" t="s">
        <v>21</v>
      </c>
      <c r="C15" s="33" t="s">
        <v>26</v>
      </c>
      <c r="D15" s="84">
        <v>244154</v>
      </c>
      <c r="E15" s="84">
        <f t="shared" si="1"/>
        <v>43500</v>
      </c>
      <c r="F15" s="92">
        <v>7000</v>
      </c>
      <c r="G15" s="92"/>
      <c r="H15" s="92">
        <v>7000</v>
      </c>
      <c r="I15" s="102">
        <v>193654</v>
      </c>
      <c r="J15" s="102"/>
      <c r="K15" s="102">
        <v>193654</v>
      </c>
      <c r="L15" s="36">
        <f t="shared" si="2"/>
        <v>244154</v>
      </c>
      <c r="M15" s="37">
        <f t="shared" si="0"/>
        <v>244154</v>
      </c>
    </row>
    <row r="16" spans="1:21" s="12" customFormat="1" ht="21" x14ac:dyDescent="0.35">
      <c r="A16" s="8">
        <v>13</v>
      </c>
      <c r="B16" s="33" t="s">
        <v>21</v>
      </c>
      <c r="C16" s="33" t="s">
        <v>27</v>
      </c>
      <c r="D16" s="84">
        <v>1484641</v>
      </c>
      <c r="E16" s="84">
        <f t="shared" si="1"/>
        <v>594725</v>
      </c>
      <c r="F16" s="92">
        <v>795460</v>
      </c>
      <c r="G16" s="92"/>
      <c r="H16" s="92">
        <v>795460</v>
      </c>
      <c r="I16" s="102">
        <v>94456</v>
      </c>
      <c r="J16" s="102"/>
      <c r="K16" s="102">
        <v>94456</v>
      </c>
      <c r="L16" s="36">
        <f t="shared" si="2"/>
        <v>1484641</v>
      </c>
      <c r="M16" s="37">
        <f t="shared" ref="M16:M29" si="3">SUM(D16)</f>
        <v>1484641</v>
      </c>
    </row>
    <row r="17" spans="1:15" s="12" customFormat="1" ht="21" x14ac:dyDescent="0.35">
      <c r="A17" s="8">
        <v>14</v>
      </c>
      <c r="B17" s="33" t="s">
        <v>21</v>
      </c>
      <c r="C17" s="33" t="s">
        <v>28</v>
      </c>
      <c r="D17" s="84">
        <v>1879351</v>
      </c>
      <c r="E17" s="84">
        <f t="shared" si="1"/>
        <v>1194960</v>
      </c>
      <c r="F17" s="92">
        <v>652135</v>
      </c>
      <c r="G17" s="92"/>
      <c r="H17" s="92">
        <v>652135</v>
      </c>
      <c r="I17" s="102">
        <v>32256</v>
      </c>
      <c r="J17" s="102"/>
      <c r="K17" s="102">
        <v>32256</v>
      </c>
      <c r="L17" s="36">
        <f t="shared" si="2"/>
        <v>1879351</v>
      </c>
      <c r="M17" s="38">
        <f t="shared" si="3"/>
        <v>1879351</v>
      </c>
    </row>
    <row r="18" spans="1:15" s="12" customFormat="1" ht="21" x14ac:dyDescent="0.35">
      <c r="A18" s="8">
        <v>15</v>
      </c>
      <c r="B18" s="33" t="s">
        <v>21</v>
      </c>
      <c r="C18" s="33" t="s">
        <v>29</v>
      </c>
      <c r="D18" s="84">
        <v>768700</v>
      </c>
      <c r="E18" s="84">
        <f t="shared" si="1"/>
        <v>622545</v>
      </c>
      <c r="F18" s="92">
        <v>106340</v>
      </c>
      <c r="G18" s="92"/>
      <c r="H18" s="92">
        <v>106340</v>
      </c>
      <c r="I18" s="102">
        <v>39815</v>
      </c>
      <c r="J18" s="102"/>
      <c r="K18" s="102">
        <v>39815</v>
      </c>
      <c r="L18" s="36">
        <f t="shared" si="2"/>
        <v>768700</v>
      </c>
      <c r="M18" s="38">
        <f t="shared" si="3"/>
        <v>768700</v>
      </c>
    </row>
    <row r="19" spans="1:15" s="12" customFormat="1" ht="21" x14ac:dyDescent="0.35">
      <c r="A19" s="8">
        <v>16</v>
      </c>
      <c r="B19" s="33" t="s">
        <v>21</v>
      </c>
      <c r="C19" s="33" t="s">
        <v>30</v>
      </c>
      <c r="D19" s="84">
        <v>1100536</v>
      </c>
      <c r="E19" s="84"/>
      <c r="F19" s="92">
        <v>752800</v>
      </c>
      <c r="G19" s="92"/>
      <c r="H19" s="92">
        <v>752800</v>
      </c>
      <c r="I19" s="102">
        <v>1068001</v>
      </c>
      <c r="J19" s="102"/>
      <c r="K19" s="102">
        <v>1068001</v>
      </c>
      <c r="L19" s="80">
        <f>F19+I19</f>
        <v>1820801</v>
      </c>
      <c r="M19" s="38">
        <f t="shared" si="3"/>
        <v>1100536</v>
      </c>
    </row>
    <row r="20" spans="1:15" s="12" customFormat="1" ht="21" x14ac:dyDescent="0.35">
      <c r="A20" s="8">
        <v>17</v>
      </c>
      <c r="B20" s="33" t="s">
        <v>21</v>
      </c>
      <c r="C20" s="33" t="s">
        <v>31</v>
      </c>
      <c r="D20" s="84">
        <v>1068001</v>
      </c>
      <c r="E20" s="84">
        <f>D20-H20-K20</f>
        <v>82082</v>
      </c>
      <c r="F20" s="92">
        <v>804021</v>
      </c>
      <c r="G20" s="92"/>
      <c r="H20" s="92">
        <v>804021</v>
      </c>
      <c r="I20" s="102">
        <v>181898</v>
      </c>
      <c r="J20" s="102"/>
      <c r="K20" s="102">
        <v>181898</v>
      </c>
      <c r="L20" s="36">
        <f>E20+F20+I20</f>
        <v>1068001</v>
      </c>
      <c r="M20" s="38">
        <f t="shared" si="3"/>
        <v>1068001</v>
      </c>
    </row>
    <row r="21" spans="1:15" s="12" customFormat="1" ht="21" x14ac:dyDescent="0.35">
      <c r="A21" s="8">
        <v>18</v>
      </c>
      <c r="B21" s="33" t="s">
        <v>21</v>
      </c>
      <c r="C21" s="33" t="s">
        <v>32</v>
      </c>
      <c r="D21" s="84">
        <v>112500</v>
      </c>
      <c r="E21" s="84"/>
      <c r="F21" s="92">
        <v>34549</v>
      </c>
      <c r="G21" s="92"/>
      <c r="H21" s="92">
        <v>34549</v>
      </c>
      <c r="I21" s="102">
        <v>187162</v>
      </c>
      <c r="J21" s="102"/>
      <c r="K21" s="102">
        <v>187162</v>
      </c>
      <c r="L21" s="80">
        <f>F21+I21</f>
        <v>221711</v>
      </c>
      <c r="M21" s="38">
        <f t="shared" si="3"/>
        <v>112500</v>
      </c>
    </row>
    <row r="22" spans="1:15" s="12" customFormat="1" ht="21" x14ac:dyDescent="0.35">
      <c r="A22" s="8">
        <v>19</v>
      </c>
      <c r="B22" s="33" t="s">
        <v>21</v>
      </c>
      <c r="C22" s="33" t="s">
        <v>33</v>
      </c>
      <c r="D22" s="84">
        <v>1453695</v>
      </c>
      <c r="E22" s="84">
        <f t="shared" ref="E22:E29" si="4">D22-H22-K22</f>
        <v>1273695</v>
      </c>
      <c r="F22" s="92">
        <v>0</v>
      </c>
      <c r="G22" s="92"/>
      <c r="H22" s="92">
        <v>0</v>
      </c>
      <c r="I22" s="102">
        <v>180000</v>
      </c>
      <c r="J22" s="102"/>
      <c r="K22" s="102">
        <v>180000</v>
      </c>
      <c r="L22" s="36">
        <f>E22+I22</f>
        <v>1453695</v>
      </c>
      <c r="M22" s="38">
        <f t="shared" si="3"/>
        <v>1453695</v>
      </c>
      <c r="N22" s="12" t="s">
        <v>34</v>
      </c>
    </row>
    <row r="23" spans="1:15" s="12" customFormat="1" ht="21" x14ac:dyDescent="0.35">
      <c r="A23" s="8">
        <v>20</v>
      </c>
      <c r="B23" s="33" t="s">
        <v>21</v>
      </c>
      <c r="C23" s="33" t="s">
        <v>35</v>
      </c>
      <c r="D23" s="85">
        <v>1400000</v>
      </c>
      <c r="E23" s="85">
        <f t="shared" si="4"/>
        <v>1186596</v>
      </c>
      <c r="F23" s="93">
        <v>13404</v>
      </c>
      <c r="G23" s="93"/>
      <c r="H23" s="93">
        <v>13404</v>
      </c>
      <c r="I23" s="101">
        <v>200000</v>
      </c>
      <c r="J23" s="101"/>
      <c r="K23" s="101">
        <v>200000</v>
      </c>
      <c r="L23" s="40">
        <f>E23+F23+I23</f>
        <v>1400000</v>
      </c>
      <c r="M23" s="38">
        <f t="shared" si="3"/>
        <v>1400000</v>
      </c>
      <c r="N23" s="12" t="s">
        <v>36</v>
      </c>
    </row>
    <row r="24" spans="1:15" s="12" customFormat="1" ht="21" x14ac:dyDescent="0.35">
      <c r="A24" s="8">
        <v>21</v>
      </c>
      <c r="B24" s="33" t="s">
        <v>21</v>
      </c>
      <c r="C24" s="33" t="s">
        <v>37</v>
      </c>
      <c r="D24" s="85">
        <v>1510674</v>
      </c>
      <c r="E24" s="85">
        <f t="shared" si="4"/>
        <v>1357035</v>
      </c>
      <c r="F24" s="93">
        <v>2163</v>
      </c>
      <c r="G24" s="93"/>
      <c r="H24" s="93">
        <v>2163</v>
      </c>
      <c r="I24" s="101">
        <v>151476</v>
      </c>
      <c r="J24" s="101"/>
      <c r="K24" s="101">
        <v>151476</v>
      </c>
      <c r="L24" s="40">
        <f>E24+F24+I24</f>
        <v>1510674</v>
      </c>
      <c r="M24" s="38">
        <f t="shared" si="3"/>
        <v>1510674</v>
      </c>
      <c r="N24" s="12" t="s">
        <v>38</v>
      </c>
    </row>
    <row r="25" spans="1:15" s="12" customFormat="1" ht="21" x14ac:dyDescent="0.35">
      <c r="A25" s="8">
        <v>22</v>
      </c>
      <c r="B25" s="33" t="s">
        <v>21</v>
      </c>
      <c r="C25" s="33" t="s">
        <v>39</v>
      </c>
      <c r="D25" s="85">
        <v>1208023</v>
      </c>
      <c r="E25" s="85">
        <f t="shared" si="4"/>
        <v>1054327</v>
      </c>
      <c r="F25" s="93">
        <v>2509</v>
      </c>
      <c r="G25" s="93" t="s">
        <v>72</v>
      </c>
      <c r="H25" s="93">
        <v>2509</v>
      </c>
      <c r="I25" s="101">
        <v>151187</v>
      </c>
      <c r="J25" s="101" t="s">
        <v>72</v>
      </c>
      <c r="K25" s="101">
        <v>151187</v>
      </c>
      <c r="L25" s="40">
        <f>E25+F25+I25</f>
        <v>1208023</v>
      </c>
      <c r="M25" s="38">
        <f t="shared" si="3"/>
        <v>1208023</v>
      </c>
      <c r="N25" s="12" t="s">
        <v>40</v>
      </c>
    </row>
    <row r="26" spans="1:15" s="12" customFormat="1" ht="21" x14ac:dyDescent="0.35">
      <c r="A26" s="8">
        <v>23</v>
      </c>
      <c r="B26" s="33" t="s">
        <v>21</v>
      </c>
      <c r="C26" s="33" t="s">
        <v>41</v>
      </c>
      <c r="D26" s="85">
        <v>1314930</v>
      </c>
      <c r="E26" s="85">
        <f t="shared" si="4"/>
        <v>347281</v>
      </c>
      <c r="F26" s="93">
        <v>38477</v>
      </c>
      <c r="G26" s="94">
        <v>109250</v>
      </c>
      <c r="H26" s="95">
        <f>SUM(F26:G26)</f>
        <v>147727</v>
      </c>
      <c r="I26" s="101">
        <v>201172</v>
      </c>
      <c r="J26" s="103">
        <v>618750</v>
      </c>
      <c r="K26" s="104">
        <f>SUM(I26:J26)</f>
        <v>819922</v>
      </c>
      <c r="L26" s="51">
        <f>E26+F26+G26+I26+J26</f>
        <v>1314930</v>
      </c>
      <c r="M26" s="38">
        <f t="shared" si="3"/>
        <v>1314930</v>
      </c>
      <c r="N26" s="12" t="s">
        <v>42</v>
      </c>
    </row>
    <row r="27" spans="1:15" s="12" customFormat="1" ht="21" x14ac:dyDescent="0.35">
      <c r="A27" s="8">
        <v>24</v>
      </c>
      <c r="B27" s="33" t="s">
        <v>21</v>
      </c>
      <c r="C27" s="41" t="s">
        <v>43</v>
      </c>
      <c r="D27" s="85">
        <v>1128082</v>
      </c>
      <c r="E27" s="85">
        <f t="shared" si="4"/>
        <v>388884</v>
      </c>
      <c r="F27" s="93">
        <v>93187</v>
      </c>
      <c r="G27" s="94">
        <v>109250</v>
      </c>
      <c r="H27" s="95">
        <f>SUM(F27:G27)</f>
        <v>202437</v>
      </c>
      <c r="I27" s="101">
        <v>213011</v>
      </c>
      <c r="J27" s="103">
        <v>323750</v>
      </c>
      <c r="K27" s="104">
        <f>SUM(I27:J27)</f>
        <v>536761</v>
      </c>
      <c r="L27" s="51">
        <f>E27+F27+G27+I27+J27</f>
        <v>1128082</v>
      </c>
      <c r="M27" s="38">
        <f t="shared" si="3"/>
        <v>1128082</v>
      </c>
    </row>
    <row r="28" spans="1:15" s="12" customFormat="1" ht="21" x14ac:dyDescent="0.35">
      <c r="A28" s="8">
        <v>25</v>
      </c>
      <c r="B28" s="33" t="s">
        <v>21</v>
      </c>
      <c r="C28" s="41" t="s">
        <v>44</v>
      </c>
      <c r="D28" s="85">
        <v>964740</v>
      </c>
      <c r="E28" s="85">
        <f t="shared" si="4"/>
        <v>372950</v>
      </c>
      <c r="F28" s="93">
        <v>25590</v>
      </c>
      <c r="G28" s="94">
        <v>101200</v>
      </c>
      <c r="H28" s="95">
        <f>SUM(F28:G28)</f>
        <v>126790</v>
      </c>
      <c r="I28" s="101">
        <v>200000</v>
      </c>
      <c r="J28" s="103">
        <v>265000</v>
      </c>
      <c r="K28" s="104">
        <f>SUM(I28:J28)</f>
        <v>465000</v>
      </c>
      <c r="L28" s="51">
        <f>E28+F28+G28+I28+J28</f>
        <v>964740</v>
      </c>
      <c r="M28" s="38">
        <f t="shared" si="3"/>
        <v>964740</v>
      </c>
    </row>
    <row r="29" spans="1:15" s="12" customFormat="1" ht="21" x14ac:dyDescent="0.35">
      <c r="A29" s="8">
        <v>26</v>
      </c>
      <c r="B29" s="33" t="s">
        <v>21</v>
      </c>
      <c r="C29" s="41" t="s">
        <v>45</v>
      </c>
      <c r="D29" s="85">
        <v>615388</v>
      </c>
      <c r="E29" s="85">
        <f t="shared" si="4"/>
        <v>107742</v>
      </c>
      <c r="F29" s="93">
        <v>12210</v>
      </c>
      <c r="G29" s="94">
        <v>103500</v>
      </c>
      <c r="H29" s="95">
        <f>SUM(F29:G29)</f>
        <v>115710</v>
      </c>
      <c r="I29" s="101">
        <v>95686</v>
      </c>
      <c r="J29" s="103">
        <v>296250</v>
      </c>
      <c r="K29" s="104">
        <f>SUM(I29:J29)</f>
        <v>391936</v>
      </c>
      <c r="L29" s="51">
        <f>E29+F29+G29+I29+J29</f>
        <v>615388</v>
      </c>
      <c r="M29" s="38">
        <f t="shared" si="3"/>
        <v>615388</v>
      </c>
    </row>
    <row r="30" spans="1:15" s="111" customFormat="1" ht="21" x14ac:dyDescent="0.35">
      <c r="A30" s="106"/>
      <c r="B30" s="107"/>
      <c r="C30" s="108"/>
      <c r="D30" s="109">
        <f>SUM(D4:D29)</f>
        <v>27812485</v>
      </c>
      <c r="E30" s="115">
        <f>SUM(E5:E29)</f>
        <v>16855561</v>
      </c>
      <c r="F30" s="109">
        <f>SUM(F11:F29)</f>
        <v>3916170</v>
      </c>
      <c r="G30" s="109"/>
      <c r="H30" s="115">
        <f>SUM(H4:H29)</f>
        <v>8329037</v>
      </c>
      <c r="I30" s="110">
        <f>SUM(I11:I29)</f>
        <v>4593280</v>
      </c>
      <c r="J30" s="110"/>
      <c r="K30" s="114">
        <f>SUM(K4:K29)</f>
        <v>7941037</v>
      </c>
      <c r="L30" s="110"/>
      <c r="M30" s="73"/>
    </row>
    <row r="31" spans="1:15" s="12" customFormat="1" ht="42" x14ac:dyDescent="0.35">
      <c r="A31" s="42"/>
      <c r="B31" s="43" t="s">
        <v>46</v>
      </c>
      <c r="C31" s="44"/>
      <c r="D31" s="45"/>
      <c r="E31" s="45"/>
      <c r="F31" s="45"/>
      <c r="G31" s="45"/>
      <c r="H31" s="75"/>
      <c r="I31" s="45"/>
      <c r="J31" s="45"/>
      <c r="K31" s="75"/>
      <c r="L31" s="45"/>
      <c r="M31" s="46">
        <f>SUM(M4:M30)</f>
        <v>32296159</v>
      </c>
      <c r="O31" s="47">
        <f>M31-I30-F30</f>
        <v>23786709</v>
      </c>
    </row>
    <row r="32" spans="1:15" s="12" customFormat="1" ht="42" x14ac:dyDescent="0.35">
      <c r="A32" s="42"/>
      <c r="B32" s="43" t="s">
        <v>47</v>
      </c>
      <c r="C32" s="44"/>
      <c r="D32" s="45"/>
      <c r="E32" s="45"/>
      <c r="F32" s="45"/>
      <c r="G32" s="45"/>
      <c r="H32" s="75"/>
      <c r="I32" s="45"/>
      <c r="J32" s="45"/>
      <c r="K32" s="75"/>
      <c r="L32" s="45"/>
      <c r="M32" s="46">
        <v>1076538.6333333333</v>
      </c>
      <c r="O32" s="29">
        <f>O31-I4</f>
        <v>22436709</v>
      </c>
    </row>
    <row r="33" spans="2:17" x14ac:dyDescent="0.3">
      <c r="O33" s="48"/>
      <c r="P33" s="49"/>
      <c r="Q33" s="49">
        <f>P33/30</f>
        <v>0</v>
      </c>
    </row>
    <row r="34" spans="2:17" x14ac:dyDescent="0.3">
      <c r="B34" s="1" t="s">
        <v>48</v>
      </c>
      <c r="M34" s="50"/>
    </row>
    <row r="35" spans="2:17" x14ac:dyDescent="0.3">
      <c r="B35" s="1" t="s">
        <v>49</v>
      </c>
    </row>
    <row r="36" spans="2:17" x14ac:dyDescent="0.3">
      <c r="E36" s="6" t="s">
        <v>0</v>
      </c>
      <c r="F36" s="78">
        <f>E30+H30+K30</f>
        <v>33125635</v>
      </c>
    </row>
    <row r="37" spans="2:17" x14ac:dyDescent="0.3">
      <c r="E37" s="6" t="s">
        <v>73</v>
      </c>
      <c r="F37" s="78">
        <f>F36-M31</f>
        <v>829476</v>
      </c>
      <c r="I37" s="71"/>
      <c r="J37" s="71"/>
      <c r="K37" s="77"/>
      <c r="L37" s="71"/>
      <c r="M37" s="71"/>
      <c r="O37" s="72">
        <f>32290000*0.35</f>
        <v>11301500</v>
      </c>
    </row>
    <row r="38" spans="2:17" x14ac:dyDescent="0.3">
      <c r="D38" s="53"/>
      <c r="E38" s="53"/>
      <c r="I38" s="71"/>
      <c r="J38" s="71"/>
      <c r="K38" s="77"/>
      <c r="L38" s="71"/>
      <c r="O38" s="48"/>
    </row>
    <row r="39" spans="2:17" x14ac:dyDescent="0.3">
      <c r="I39" s="71"/>
      <c r="J39" s="71"/>
      <c r="K39" s="77"/>
      <c r="L39" s="71"/>
      <c r="O39" s="48"/>
    </row>
    <row r="40" spans="2:17" x14ac:dyDescent="0.3">
      <c r="E40" s="112">
        <v>16855561</v>
      </c>
      <c r="F40" s="112">
        <v>3916170</v>
      </c>
      <c r="G40" s="112"/>
      <c r="H40" s="112">
        <v>8329037</v>
      </c>
      <c r="I40" s="113">
        <v>4593280</v>
      </c>
      <c r="J40" s="113"/>
      <c r="K40" s="113">
        <v>7941037</v>
      </c>
      <c r="L40" s="71"/>
    </row>
    <row r="41" spans="2:17" x14ac:dyDescent="0.3">
      <c r="E41" s="132" t="s">
        <v>78</v>
      </c>
      <c r="F41" s="132"/>
      <c r="G41" s="132"/>
      <c r="H41" s="132"/>
      <c r="I41" s="132"/>
      <c r="J41" s="132"/>
      <c r="K41" s="132"/>
    </row>
    <row r="45" spans="2:17" x14ac:dyDescent="0.3">
      <c r="C45" s="1" t="s">
        <v>70</v>
      </c>
      <c r="D45" s="6" t="s">
        <v>71</v>
      </c>
      <c r="M45" s="1" t="s">
        <v>70</v>
      </c>
      <c r="N45" s="6" t="s">
        <v>71</v>
      </c>
    </row>
    <row r="46" spans="2:17" x14ac:dyDescent="0.3">
      <c r="B46" s="1">
        <v>57</v>
      </c>
      <c r="C46" s="1">
        <f>125000-30000</f>
        <v>95000</v>
      </c>
      <c r="D46" s="6">
        <f>695000-200000</f>
        <v>495000</v>
      </c>
      <c r="F46" s="6">
        <f>C46*0.15</f>
        <v>14250</v>
      </c>
      <c r="I46" s="2">
        <f>D46*0.25</f>
        <v>123750</v>
      </c>
      <c r="M46" s="2">
        <f>C46+F46</f>
        <v>109250</v>
      </c>
      <c r="N46" s="1">
        <f>D46+I46</f>
        <v>618750</v>
      </c>
      <c r="O46" s="1">
        <f>SUM(M46:N46)</f>
        <v>728000</v>
      </c>
    </row>
    <row r="47" spans="2:17" x14ac:dyDescent="0.3">
      <c r="B47" s="1">
        <v>58</v>
      </c>
      <c r="C47" s="1">
        <f>145000-50000</f>
        <v>95000</v>
      </c>
      <c r="D47" s="6">
        <f>459000-200000</f>
        <v>259000</v>
      </c>
      <c r="F47" s="6">
        <f>C47*0.15</f>
        <v>14250</v>
      </c>
      <c r="I47" s="2">
        <f>D47*0.25</f>
        <v>64750</v>
      </c>
      <c r="M47" s="2">
        <f>C47+F47</f>
        <v>109250</v>
      </c>
      <c r="N47" s="1">
        <f>D47+I47</f>
        <v>323750</v>
      </c>
      <c r="O47" s="1">
        <f>SUM(M47:N47)</f>
        <v>433000</v>
      </c>
    </row>
    <row r="48" spans="2:17" x14ac:dyDescent="0.3">
      <c r="B48" s="1">
        <v>59</v>
      </c>
      <c r="C48" s="1">
        <f>98000-10000</f>
        <v>88000</v>
      </c>
      <c r="D48" s="6">
        <v>212000</v>
      </c>
      <c r="F48" s="6">
        <f>C48*0.15</f>
        <v>13200</v>
      </c>
      <c r="I48" s="2">
        <f>D48*0.25</f>
        <v>53000</v>
      </c>
      <c r="M48" s="2">
        <f>C48+F48</f>
        <v>101200</v>
      </c>
      <c r="N48" s="1">
        <f>D48+I48</f>
        <v>265000</v>
      </c>
      <c r="O48" s="1">
        <f>SUM(M48:N48)</f>
        <v>366200</v>
      </c>
    </row>
    <row r="49" spans="2:15" x14ac:dyDescent="0.3">
      <c r="B49" s="1">
        <v>60</v>
      </c>
      <c r="C49" s="1">
        <f>90000</f>
        <v>90000</v>
      </c>
      <c r="D49" s="6">
        <f>387000-150000</f>
        <v>237000</v>
      </c>
      <c r="F49" s="6">
        <f>C49*0.15</f>
        <v>13500</v>
      </c>
      <c r="I49" s="2">
        <f>D49*0.25</f>
        <v>59250</v>
      </c>
      <c r="M49" s="2">
        <f>C49+F49</f>
        <v>103500</v>
      </c>
      <c r="N49" s="1">
        <f>D49+I49</f>
        <v>296250</v>
      </c>
      <c r="O49" s="1">
        <f>SUM(M49:N49)</f>
        <v>399750</v>
      </c>
    </row>
  </sheetData>
  <mergeCells count="1">
    <mergeCell ref="E41:K41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0"/>
  <sheetViews>
    <sheetView tabSelected="1" workbookViewId="0">
      <selection activeCell="F7" sqref="F7"/>
    </sheetView>
  </sheetViews>
  <sheetFormatPr defaultColWidth="9" defaultRowHeight="18.75" x14ac:dyDescent="0.3"/>
  <cols>
    <col min="1" max="1" width="5.5" style="2" customWidth="1"/>
    <col min="2" max="2" width="33.75" style="1" customWidth="1"/>
    <col min="3" max="3" width="16.375" style="1" customWidth="1"/>
    <col min="4" max="4" width="10.875" style="6" customWidth="1"/>
    <col min="5" max="5" width="10.25" style="6" customWidth="1"/>
    <col min="6" max="6" width="9.75" style="2" customWidth="1"/>
    <col min="7" max="7" width="11" style="2" customWidth="1"/>
    <col min="8" max="8" width="12.25" style="1" bestFit="1" customWidth="1"/>
    <col min="9" max="9" width="10.875" style="1" bestFit="1" customWidth="1"/>
    <col min="10" max="10" width="9.25" style="1" bestFit="1" customWidth="1"/>
    <col min="11" max="16384" width="9" style="1"/>
  </cols>
  <sheetData>
    <row r="2" spans="1:14" ht="49.5" customHeight="1" x14ac:dyDescent="0.4">
      <c r="A2" s="133" t="s">
        <v>81</v>
      </c>
      <c r="B2" s="133"/>
      <c r="C2" s="133"/>
      <c r="D2" s="133"/>
      <c r="E2" s="133"/>
      <c r="F2" s="133"/>
      <c r="G2" s="133"/>
      <c r="N2" s="7">
        <v>240363</v>
      </c>
    </row>
    <row r="3" spans="1:14" s="12" customFormat="1" ht="56.25" x14ac:dyDescent="0.35">
      <c r="A3" s="1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</row>
    <row r="4" spans="1:14" s="12" customFormat="1" ht="42" x14ac:dyDescent="0.35">
      <c r="A4" s="19">
        <v>1</v>
      </c>
      <c r="B4" s="13" t="s">
        <v>9</v>
      </c>
      <c r="C4" s="117" t="s">
        <v>10</v>
      </c>
      <c r="D4" s="32">
        <v>1350000</v>
      </c>
      <c r="E4" s="15"/>
      <c r="F4" s="14">
        <v>1350000</v>
      </c>
      <c r="G4" s="16">
        <v>1350000</v>
      </c>
    </row>
    <row r="5" spans="1:14" s="12" customFormat="1" ht="42" x14ac:dyDescent="0.35">
      <c r="A5" s="19">
        <v>2</v>
      </c>
      <c r="B5" s="13" t="s">
        <v>11</v>
      </c>
      <c r="C5" s="122" t="s">
        <v>12</v>
      </c>
      <c r="D5" s="18">
        <v>318045</v>
      </c>
      <c r="E5" s="18">
        <v>800000</v>
      </c>
      <c r="F5" s="19"/>
      <c r="G5" s="20">
        <f t="shared" ref="G5:G6" si="0">SUM(D5:F5)</f>
        <v>1118045</v>
      </c>
    </row>
    <row r="6" spans="1:14" s="12" customFormat="1" ht="42" customHeight="1" x14ac:dyDescent="0.35">
      <c r="A6" s="19">
        <v>3</v>
      </c>
      <c r="B6" s="21" t="s">
        <v>13</v>
      </c>
      <c r="C6" s="123" t="s">
        <v>87</v>
      </c>
      <c r="D6" s="18">
        <v>2008904</v>
      </c>
      <c r="E6" s="18">
        <v>724543</v>
      </c>
      <c r="F6" s="19"/>
      <c r="G6" s="20">
        <f t="shared" si="0"/>
        <v>2733447</v>
      </c>
      <c r="H6" s="23"/>
      <c r="I6" s="23"/>
    </row>
    <row r="7" spans="1:14" s="12" customFormat="1" ht="63" x14ac:dyDescent="0.35">
      <c r="A7" s="19">
        <v>4</v>
      </c>
      <c r="B7" s="24" t="s">
        <v>84</v>
      </c>
      <c r="C7" s="117" t="s">
        <v>85</v>
      </c>
      <c r="D7" s="25">
        <v>2387120</v>
      </c>
      <c r="E7" s="25">
        <v>824845</v>
      </c>
      <c r="F7" s="26">
        <v>29690</v>
      </c>
      <c r="G7" s="20">
        <f>SUM(D7:F7)</f>
        <v>3241655</v>
      </c>
      <c r="H7" s="3"/>
      <c r="I7" s="23"/>
    </row>
    <row r="8" spans="1:14" s="12" customFormat="1" ht="63" x14ac:dyDescent="0.35">
      <c r="A8" s="19">
        <v>5</v>
      </c>
      <c r="B8" s="24" t="s">
        <v>82</v>
      </c>
      <c r="C8" s="117" t="s">
        <v>88</v>
      </c>
      <c r="D8" s="27">
        <v>1072673</v>
      </c>
      <c r="E8" s="27">
        <v>783594</v>
      </c>
      <c r="F8" s="28">
        <v>151714</v>
      </c>
      <c r="G8" s="20">
        <f>SUM(D8:F8)</f>
        <v>2007981</v>
      </c>
    </row>
    <row r="9" spans="1:14" s="12" customFormat="1" ht="63" x14ac:dyDescent="0.35">
      <c r="A9" s="19">
        <v>6</v>
      </c>
      <c r="B9" s="24" t="s">
        <v>83</v>
      </c>
      <c r="C9" s="117" t="s">
        <v>86</v>
      </c>
      <c r="D9" s="27">
        <v>1323997</v>
      </c>
      <c r="E9" s="27">
        <v>856685</v>
      </c>
      <c r="F9" s="28">
        <v>312603</v>
      </c>
      <c r="G9" s="20">
        <f>SUM(D9:F9)</f>
        <v>2493285</v>
      </c>
    </row>
    <row r="10" spans="1:14" s="12" customFormat="1" ht="84" x14ac:dyDescent="0.35">
      <c r="A10" s="19">
        <v>7</v>
      </c>
      <c r="B10" s="24" t="s">
        <v>19</v>
      </c>
      <c r="C10" s="122" t="s">
        <v>20</v>
      </c>
      <c r="D10" s="14">
        <v>700000</v>
      </c>
      <c r="E10" s="31"/>
      <c r="F10" s="32"/>
      <c r="G10" s="14">
        <v>700000</v>
      </c>
    </row>
    <row r="11" spans="1:14" s="12" customFormat="1" ht="21" x14ac:dyDescent="0.35">
      <c r="A11" s="19">
        <v>8</v>
      </c>
      <c r="B11" s="33" t="s">
        <v>21</v>
      </c>
      <c r="C11" s="119" t="s">
        <v>22</v>
      </c>
      <c r="D11" s="34">
        <v>97968</v>
      </c>
      <c r="E11" s="35">
        <v>50000</v>
      </c>
      <c r="F11" s="36">
        <v>47968</v>
      </c>
      <c r="G11" s="37">
        <f t="shared" ref="G11:G15" si="1">SUM(D11)</f>
        <v>97968</v>
      </c>
    </row>
    <row r="12" spans="1:14" s="12" customFormat="1" ht="21" x14ac:dyDescent="0.35">
      <c r="A12" s="19">
        <v>9</v>
      </c>
      <c r="B12" s="33" t="s">
        <v>21</v>
      </c>
      <c r="C12" s="119" t="s">
        <v>23</v>
      </c>
      <c r="D12" s="34">
        <v>187704</v>
      </c>
      <c r="E12" s="35">
        <v>0</v>
      </c>
      <c r="F12" s="36">
        <v>187704</v>
      </c>
      <c r="G12" s="37">
        <f t="shared" si="1"/>
        <v>187704</v>
      </c>
    </row>
    <row r="13" spans="1:14" s="12" customFormat="1" ht="21" x14ac:dyDescent="0.35">
      <c r="A13" s="19">
        <v>10</v>
      </c>
      <c r="B13" s="33" t="s">
        <v>21</v>
      </c>
      <c r="C13" s="119" t="s">
        <v>24</v>
      </c>
      <c r="D13" s="34">
        <v>857192</v>
      </c>
      <c r="E13" s="35">
        <v>260525</v>
      </c>
      <c r="F13" s="36">
        <v>434167</v>
      </c>
      <c r="G13" s="37">
        <f t="shared" si="1"/>
        <v>857192</v>
      </c>
      <c r="H13" s="67"/>
    </row>
    <row r="14" spans="1:14" s="12" customFormat="1" ht="21" x14ac:dyDescent="0.35">
      <c r="A14" s="19">
        <v>11</v>
      </c>
      <c r="B14" s="33" t="s">
        <v>21</v>
      </c>
      <c r="C14" s="119" t="s">
        <v>25</v>
      </c>
      <c r="D14" s="34">
        <v>1255467</v>
      </c>
      <c r="E14" s="35">
        <v>265800</v>
      </c>
      <c r="F14" s="36">
        <v>733667</v>
      </c>
      <c r="G14" s="37">
        <f t="shared" si="1"/>
        <v>1255467</v>
      </c>
      <c r="H14" s="67"/>
    </row>
    <row r="15" spans="1:14" s="12" customFormat="1" ht="21" x14ac:dyDescent="0.35">
      <c r="A15" s="19">
        <v>12</v>
      </c>
      <c r="B15" s="33" t="s">
        <v>21</v>
      </c>
      <c r="C15" s="119" t="s">
        <v>26</v>
      </c>
      <c r="D15" s="34">
        <v>244154</v>
      </c>
      <c r="E15" s="35">
        <v>7000</v>
      </c>
      <c r="F15" s="36">
        <v>193654</v>
      </c>
      <c r="G15" s="37">
        <f t="shared" si="1"/>
        <v>244154</v>
      </c>
      <c r="H15" s="67"/>
    </row>
    <row r="16" spans="1:14" s="12" customFormat="1" ht="21" x14ac:dyDescent="0.35">
      <c r="A16" s="19">
        <v>13</v>
      </c>
      <c r="B16" s="33" t="s">
        <v>21</v>
      </c>
      <c r="C16" s="119" t="s">
        <v>27</v>
      </c>
      <c r="D16" s="34">
        <v>1484641</v>
      </c>
      <c r="E16" s="35">
        <v>795460</v>
      </c>
      <c r="F16" s="36">
        <v>94456</v>
      </c>
      <c r="G16" s="37">
        <f t="shared" ref="G16:G30" si="2">SUM(D16)</f>
        <v>1484641</v>
      </c>
      <c r="H16" s="67"/>
    </row>
    <row r="17" spans="1:9" s="12" customFormat="1" ht="21" x14ac:dyDescent="0.35">
      <c r="A17" s="19">
        <v>14</v>
      </c>
      <c r="B17" s="33" t="s">
        <v>21</v>
      </c>
      <c r="C17" s="119" t="s">
        <v>28</v>
      </c>
      <c r="D17" s="34">
        <v>1879351</v>
      </c>
      <c r="E17" s="35">
        <v>652135</v>
      </c>
      <c r="F17" s="36">
        <v>32256</v>
      </c>
      <c r="G17" s="38">
        <f t="shared" si="2"/>
        <v>1879351</v>
      </c>
      <c r="H17" s="67"/>
    </row>
    <row r="18" spans="1:9" s="12" customFormat="1" ht="21" x14ac:dyDescent="0.35">
      <c r="A18" s="19">
        <v>15</v>
      </c>
      <c r="B18" s="33" t="s">
        <v>21</v>
      </c>
      <c r="C18" s="119" t="s">
        <v>29</v>
      </c>
      <c r="D18" s="34">
        <v>768700</v>
      </c>
      <c r="E18" s="35">
        <v>106340</v>
      </c>
      <c r="F18" s="36">
        <v>39815</v>
      </c>
      <c r="G18" s="38">
        <f t="shared" si="2"/>
        <v>768700</v>
      </c>
      <c r="H18" s="67"/>
    </row>
    <row r="19" spans="1:9" s="12" customFormat="1" ht="21" x14ac:dyDescent="0.35">
      <c r="A19" s="19">
        <v>16</v>
      </c>
      <c r="B19" s="33" t="s">
        <v>21</v>
      </c>
      <c r="C19" s="119" t="s">
        <v>30</v>
      </c>
      <c r="D19" s="35">
        <v>1100536</v>
      </c>
      <c r="E19" s="35">
        <v>752800</v>
      </c>
      <c r="F19" s="36">
        <v>1068001</v>
      </c>
      <c r="G19" s="38">
        <f t="shared" si="2"/>
        <v>1100536</v>
      </c>
      <c r="H19" s="67"/>
    </row>
    <row r="20" spans="1:9" s="12" customFormat="1" ht="21" x14ac:dyDescent="0.35">
      <c r="A20" s="19">
        <v>17</v>
      </c>
      <c r="B20" s="33" t="s">
        <v>21</v>
      </c>
      <c r="C20" s="119" t="s">
        <v>31</v>
      </c>
      <c r="D20" s="35">
        <v>1068001</v>
      </c>
      <c r="E20" s="35">
        <v>804021</v>
      </c>
      <c r="F20" s="36">
        <v>181898</v>
      </c>
      <c r="G20" s="38">
        <f t="shared" si="2"/>
        <v>1068001</v>
      </c>
      <c r="H20" s="67"/>
    </row>
    <row r="21" spans="1:9" s="12" customFormat="1" ht="21" x14ac:dyDescent="0.35">
      <c r="A21" s="19">
        <v>18</v>
      </c>
      <c r="B21" s="33" t="s">
        <v>21</v>
      </c>
      <c r="C21" s="119" t="s">
        <v>32</v>
      </c>
      <c r="D21" s="35">
        <v>112500</v>
      </c>
      <c r="E21" s="35">
        <v>34549</v>
      </c>
      <c r="F21" s="36">
        <v>187162</v>
      </c>
      <c r="G21" s="38">
        <f t="shared" si="2"/>
        <v>112500</v>
      </c>
      <c r="H21" s="67"/>
    </row>
    <row r="22" spans="1:9" s="12" customFormat="1" ht="21" x14ac:dyDescent="0.35">
      <c r="A22" s="19">
        <v>19</v>
      </c>
      <c r="B22" s="33" t="s">
        <v>21</v>
      </c>
      <c r="C22" s="119" t="s">
        <v>33</v>
      </c>
      <c r="D22" s="35">
        <v>1453695</v>
      </c>
      <c r="E22" s="35">
        <v>0</v>
      </c>
      <c r="F22" s="36">
        <v>180000</v>
      </c>
      <c r="G22" s="38">
        <f t="shared" si="2"/>
        <v>1453695</v>
      </c>
      <c r="H22" s="67"/>
    </row>
    <row r="23" spans="1:9" s="12" customFormat="1" ht="21" x14ac:dyDescent="0.35">
      <c r="A23" s="19">
        <v>20</v>
      </c>
      <c r="B23" s="33" t="s">
        <v>21</v>
      </c>
      <c r="C23" s="119" t="s">
        <v>35</v>
      </c>
      <c r="D23" s="14">
        <v>1400000</v>
      </c>
      <c r="E23" s="39">
        <v>13404</v>
      </c>
      <c r="F23" s="40">
        <v>200000</v>
      </c>
      <c r="G23" s="38">
        <f t="shared" si="2"/>
        <v>1400000</v>
      </c>
      <c r="H23" s="67"/>
    </row>
    <row r="24" spans="1:9" s="12" customFormat="1" ht="21" x14ac:dyDescent="0.35">
      <c r="A24" s="19">
        <v>21</v>
      </c>
      <c r="B24" s="33" t="s">
        <v>21</v>
      </c>
      <c r="C24" s="119" t="s">
        <v>37</v>
      </c>
      <c r="D24" s="14">
        <v>1510674</v>
      </c>
      <c r="E24" s="39">
        <v>2163</v>
      </c>
      <c r="F24" s="40">
        <v>151476</v>
      </c>
      <c r="G24" s="38">
        <f t="shared" si="2"/>
        <v>1510674</v>
      </c>
      <c r="H24" s="67"/>
    </row>
    <row r="25" spans="1:9" s="12" customFormat="1" ht="21" x14ac:dyDescent="0.35">
      <c r="A25" s="19">
        <v>22</v>
      </c>
      <c r="B25" s="33" t="s">
        <v>21</v>
      </c>
      <c r="C25" s="119" t="s">
        <v>39</v>
      </c>
      <c r="D25" s="14">
        <v>1208023</v>
      </c>
      <c r="E25" s="39">
        <v>2509</v>
      </c>
      <c r="F25" s="40">
        <v>151187</v>
      </c>
      <c r="G25" s="38">
        <f t="shared" si="2"/>
        <v>1208023</v>
      </c>
      <c r="H25" s="67"/>
    </row>
    <row r="26" spans="1:9" s="12" customFormat="1" ht="21" x14ac:dyDescent="0.35">
      <c r="A26" s="19">
        <v>23</v>
      </c>
      <c r="B26" s="33" t="s">
        <v>21</v>
      </c>
      <c r="C26" s="119" t="s">
        <v>41</v>
      </c>
      <c r="D26" s="14">
        <v>1314930</v>
      </c>
      <c r="E26" s="39">
        <v>38477</v>
      </c>
      <c r="F26" s="40">
        <v>201172</v>
      </c>
      <c r="G26" s="38">
        <f t="shared" si="2"/>
        <v>1314930</v>
      </c>
      <c r="H26" s="67"/>
    </row>
    <row r="27" spans="1:9" s="12" customFormat="1" ht="21" x14ac:dyDescent="0.35">
      <c r="A27" s="19">
        <v>24</v>
      </c>
      <c r="B27" s="33" t="s">
        <v>21</v>
      </c>
      <c r="C27" s="118" t="s">
        <v>43</v>
      </c>
      <c r="D27" s="14">
        <v>1128082</v>
      </c>
      <c r="E27" s="39">
        <v>93187</v>
      </c>
      <c r="F27" s="40">
        <v>213011</v>
      </c>
      <c r="G27" s="38">
        <f t="shared" si="2"/>
        <v>1128082</v>
      </c>
      <c r="H27" s="67"/>
    </row>
    <row r="28" spans="1:9" s="12" customFormat="1" ht="21" x14ac:dyDescent="0.35">
      <c r="A28" s="19">
        <v>25</v>
      </c>
      <c r="B28" s="33" t="s">
        <v>21</v>
      </c>
      <c r="C28" s="118" t="s">
        <v>44</v>
      </c>
      <c r="D28" s="14">
        <v>964740</v>
      </c>
      <c r="E28" s="39">
        <v>25590</v>
      </c>
      <c r="F28" s="40">
        <v>200000</v>
      </c>
      <c r="G28" s="38">
        <f t="shared" si="2"/>
        <v>964740</v>
      </c>
      <c r="H28" s="67"/>
    </row>
    <row r="29" spans="1:9" s="12" customFormat="1" ht="21" x14ac:dyDescent="0.35">
      <c r="A29" s="19">
        <v>26</v>
      </c>
      <c r="B29" s="33" t="s">
        <v>21</v>
      </c>
      <c r="C29" s="118" t="s">
        <v>45</v>
      </c>
      <c r="D29" s="14">
        <v>615388</v>
      </c>
      <c r="E29" s="39">
        <v>12210</v>
      </c>
      <c r="F29" s="40">
        <v>95686</v>
      </c>
      <c r="G29" s="38">
        <f t="shared" si="2"/>
        <v>615388</v>
      </c>
      <c r="H29" s="67"/>
    </row>
    <row r="30" spans="1:9" s="12" customFormat="1" ht="21" x14ac:dyDescent="0.35">
      <c r="A30" s="19">
        <v>27</v>
      </c>
      <c r="B30" s="33" t="s">
        <v>80</v>
      </c>
      <c r="C30" s="118" t="s">
        <v>79</v>
      </c>
      <c r="D30" s="14">
        <v>786171</v>
      </c>
      <c r="E30" s="39">
        <v>9180</v>
      </c>
      <c r="F30" s="120">
        <v>108153</v>
      </c>
      <c r="G30" s="38">
        <f t="shared" si="2"/>
        <v>786171</v>
      </c>
      <c r="H30" s="67"/>
    </row>
    <row r="31" spans="1:9" s="12" customFormat="1" ht="42" x14ac:dyDescent="0.35">
      <c r="A31" s="116"/>
      <c r="B31" s="43" t="s">
        <v>46</v>
      </c>
      <c r="C31" s="121"/>
      <c r="D31" s="45">
        <f>SUM(D4:D30)</f>
        <v>28598656</v>
      </c>
      <c r="E31" s="45">
        <f>E4+E5+E6+E7+E8+E9</f>
        <v>3989667</v>
      </c>
      <c r="F31" s="45">
        <f>F5+F6+F7+F8+F9</f>
        <v>494007</v>
      </c>
      <c r="G31" s="46">
        <f>SUM(G4:G30)</f>
        <v>33082330</v>
      </c>
      <c r="H31" s="47"/>
      <c r="I31" s="67"/>
    </row>
    <row r="32" spans="1:9" s="12" customFormat="1" ht="42" x14ac:dyDescent="0.35">
      <c r="A32" s="116"/>
      <c r="B32" s="43" t="s">
        <v>47</v>
      </c>
      <c r="C32" s="121"/>
      <c r="D32" s="45"/>
      <c r="E32" s="45"/>
      <c r="F32" s="45"/>
      <c r="G32" s="46">
        <f>G31/30</f>
        <v>1102744.3333333333</v>
      </c>
      <c r="H32" s="29"/>
    </row>
    <row r="33" spans="2:10" x14ac:dyDescent="0.3">
      <c r="H33" s="48"/>
      <c r="I33" s="49"/>
      <c r="J33" s="49">
        <f>I33/30</f>
        <v>0</v>
      </c>
    </row>
    <row r="34" spans="2:10" x14ac:dyDescent="0.3">
      <c r="B34" s="1" t="s">
        <v>89</v>
      </c>
      <c r="G34" s="50"/>
    </row>
    <row r="35" spans="2:10" x14ac:dyDescent="0.3">
      <c r="B35" s="1" t="s">
        <v>90</v>
      </c>
    </row>
    <row r="36" spans="2:10" x14ac:dyDescent="0.3">
      <c r="B36" s="1" t="s">
        <v>91</v>
      </c>
    </row>
    <row r="37" spans="2:10" x14ac:dyDescent="0.3">
      <c r="F37" s="71"/>
      <c r="G37" s="71"/>
      <c r="H37" s="72"/>
    </row>
    <row r="38" spans="2:10" x14ac:dyDescent="0.3">
      <c r="D38" s="53"/>
      <c r="F38" s="71"/>
      <c r="H38" s="48"/>
    </row>
    <row r="39" spans="2:10" x14ac:dyDescent="0.3">
      <c r="F39" s="71"/>
      <c r="H39" s="48"/>
    </row>
    <row r="40" spans="2:10" x14ac:dyDescent="0.3">
      <c r="F40" s="71"/>
    </row>
  </sheetData>
  <mergeCells count="1">
    <mergeCell ref="A2:G2"/>
  </mergeCells>
  <pageMargins left="0" right="0" top="0.15748031496062992" bottom="0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 (2)</vt:lpstr>
      <vt:lpstr>คิดแยกเมล็ดต้นกล้าเล็กใหญ๋ล่าสด</vt:lpstr>
      <vt:lpstr>จำนวนต้นกล้าจำหน่าย</vt:lpstr>
      <vt:lpstr>จำนวนต้นกล้าจำหน่าย!Print_Titles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</dc:creator>
  <cp:lastModifiedBy>N-Ter Customer</cp:lastModifiedBy>
  <cp:lastPrinted>2019-05-08T01:28:15Z</cp:lastPrinted>
  <dcterms:created xsi:type="dcterms:W3CDTF">2015-11-10T07:09:35Z</dcterms:created>
  <dcterms:modified xsi:type="dcterms:W3CDTF">2019-05-08T01:28:27Z</dcterms:modified>
</cp:coreProperties>
</file>